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ultiple District Minutes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Sheet1!$A$7:$J$92</definedName>
    <definedName name="_xlnm.Print_Titles" localSheetId="0">Sheet1!$1:$6</definedName>
  </definedNames>
  <calcPr calcId="171027"/>
</workbook>
</file>

<file path=xl/calcChain.xml><?xml version="1.0" encoding="utf-8"?>
<calcChain xmlns="http://schemas.openxmlformats.org/spreadsheetml/2006/main">
  <c r="F81" i="1" l="1"/>
  <c r="F69" i="1"/>
  <c r="F57" i="1"/>
  <c r="F52" i="1"/>
  <c r="F8" i="1"/>
  <c r="F24" i="1" s="1"/>
  <c r="M81" i="1"/>
  <c r="L81" i="1"/>
  <c r="K81" i="1"/>
  <c r="I81" i="1"/>
  <c r="H81" i="1"/>
  <c r="G81" i="1"/>
  <c r="H69" i="1"/>
  <c r="H52" i="1"/>
  <c r="H55" i="1"/>
  <c r="H57" i="1" s="1"/>
  <c r="H18" i="1"/>
  <c r="H8" i="1"/>
  <c r="H24" i="1" l="1"/>
  <c r="H83" i="1"/>
  <c r="F83" i="1"/>
  <c r="F85" i="1" s="1"/>
  <c r="R88" i="1"/>
  <c r="Q87" i="1" s="1"/>
  <c r="O87" i="1"/>
  <c r="T81" i="1"/>
  <c r="S81" i="1"/>
  <c r="Q81" i="1"/>
  <c r="O76" i="1"/>
  <c r="O75" i="1"/>
  <c r="O74" i="1"/>
  <c r="J73" i="1"/>
  <c r="J81" i="1" s="1"/>
  <c r="O72" i="1"/>
  <c r="O81" i="1" s="1"/>
  <c r="T69" i="1"/>
  <c r="S69" i="1"/>
  <c r="Q69" i="1"/>
  <c r="L69" i="1"/>
  <c r="J69" i="1"/>
  <c r="I69" i="1"/>
  <c r="G69" i="1"/>
  <c r="O68" i="1"/>
  <c r="O67" i="1"/>
  <c r="M67" i="1"/>
  <c r="K67" i="1"/>
  <c r="O66" i="1"/>
  <c r="M66" i="1"/>
  <c r="K66" i="1"/>
  <c r="O65" i="1"/>
  <c r="M65" i="1"/>
  <c r="K65" i="1"/>
  <c r="O63" i="1"/>
  <c r="T57" i="1"/>
  <c r="S57" i="1"/>
  <c r="Q57" i="1"/>
  <c r="M57" i="1"/>
  <c r="K57" i="1"/>
  <c r="J57" i="1"/>
  <c r="I57" i="1"/>
  <c r="G57" i="1"/>
  <c r="O56" i="1"/>
  <c r="L56" i="1"/>
  <c r="O55" i="1"/>
  <c r="L55" i="1"/>
  <c r="T52" i="1"/>
  <c r="S52" i="1"/>
  <c r="S83" i="1" s="1"/>
  <c r="L52" i="1"/>
  <c r="J52" i="1"/>
  <c r="Q51" i="1"/>
  <c r="Q52" i="1" s="1"/>
  <c r="O51" i="1"/>
  <c r="O50" i="1"/>
  <c r="M50" i="1"/>
  <c r="G50" i="1"/>
  <c r="O49" i="1"/>
  <c r="O47" i="1"/>
  <c r="O46" i="1"/>
  <c r="G46" i="1"/>
  <c r="O45" i="1"/>
  <c r="G45" i="1"/>
  <c r="O44" i="1"/>
  <c r="G44" i="1"/>
  <c r="O43" i="1"/>
  <c r="O42" i="1"/>
  <c r="O41" i="1"/>
  <c r="O40" i="1"/>
  <c r="K40" i="1"/>
  <c r="O39" i="1"/>
  <c r="M39" i="1"/>
  <c r="K39" i="1"/>
  <c r="O38" i="1"/>
  <c r="M38" i="1"/>
  <c r="K38" i="1"/>
  <c r="I38" i="1"/>
  <c r="I52" i="1" s="1"/>
  <c r="I83" i="1" s="1"/>
  <c r="O37" i="1"/>
  <c r="O36" i="1"/>
  <c r="M36" i="1"/>
  <c r="K36" i="1"/>
  <c r="O35" i="1"/>
  <c r="M35" i="1"/>
  <c r="K35" i="1"/>
  <c r="G35" i="1"/>
  <c r="O34" i="1"/>
  <c r="M34" i="1"/>
  <c r="K34" i="1"/>
  <c r="G34" i="1"/>
  <c r="O33" i="1"/>
  <c r="M33" i="1"/>
  <c r="K33" i="1"/>
  <c r="G33" i="1"/>
  <c r="O32" i="1"/>
  <c r="M32" i="1"/>
  <c r="K32" i="1"/>
  <c r="G32" i="1"/>
  <c r="G52" i="1" s="1"/>
  <c r="O31" i="1"/>
  <c r="O30" i="1"/>
  <c r="O29" i="1"/>
  <c r="O28" i="1"/>
  <c r="T24" i="1"/>
  <c r="S24" i="1"/>
  <c r="Q24" i="1"/>
  <c r="O23" i="1"/>
  <c r="O18" i="1"/>
  <c r="L18" i="1"/>
  <c r="O17" i="1"/>
  <c r="O16" i="1"/>
  <c r="O15" i="1"/>
  <c r="M15" i="1"/>
  <c r="O14" i="1"/>
  <c r="O13" i="1"/>
  <c r="J12" i="1"/>
  <c r="O11" i="1"/>
  <c r="O10" i="1"/>
  <c r="O9" i="1"/>
  <c r="J9" i="1"/>
  <c r="O8" i="1"/>
  <c r="M8" i="1"/>
  <c r="M24" i="1" s="1"/>
  <c r="L8" i="1"/>
  <c r="L24" i="1" s="1"/>
  <c r="K8" i="1"/>
  <c r="K24" i="1" s="1"/>
  <c r="J8" i="1"/>
  <c r="I8" i="1"/>
  <c r="I24" i="1" s="1"/>
  <c r="G8" i="1"/>
  <c r="G24" i="1" s="1"/>
  <c r="H85" i="1" l="1"/>
  <c r="G83" i="1"/>
  <c r="G85" i="1" s="1"/>
  <c r="K52" i="1"/>
  <c r="I85" i="1"/>
  <c r="O52" i="1"/>
  <c r="T83" i="1"/>
  <c r="T85" i="1" s="1"/>
  <c r="T88" i="1" s="1"/>
  <c r="O57" i="1"/>
  <c r="M69" i="1"/>
  <c r="S85" i="1"/>
  <c r="S88" i="1" s="1"/>
  <c r="M52" i="1"/>
  <c r="M83" i="1" s="1"/>
  <c r="L57" i="1"/>
  <c r="L83" i="1" s="1"/>
  <c r="L85" i="1" s="1"/>
  <c r="L88" i="1" s="1"/>
  <c r="J24" i="1"/>
  <c r="O24" i="1"/>
  <c r="Q83" i="1"/>
  <c r="Q85" i="1" s="1"/>
  <c r="Q88" i="1" s="1"/>
  <c r="K69" i="1"/>
  <c r="O69" i="1"/>
  <c r="J83" i="1"/>
  <c r="J85" i="1" l="1"/>
  <c r="J88" i="1" s="1"/>
  <c r="I87" i="1" s="1"/>
  <c r="I88" i="1" s="1"/>
  <c r="K83" i="1"/>
  <c r="K85" i="1" s="1"/>
  <c r="K88" i="1" s="1"/>
  <c r="M85" i="1"/>
  <c r="O83" i="1"/>
  <c r="O85" i="1" s="1"/>
  <c r="O88" i="1" s="1"/>
  <c r="G87" i="1" l="1"/>
  <c r="G88" i="1" s="1"/>
  <c r="H87" i="1"/>
  <c r="H88" i="1" s="1"/>
  <c r="F87" i="1" s="1"/>
  <c r="F88" i="1" s="1"/>
  <c r="M88" i="1"/>
</calcChain>
</file>

<file path=xl/sharedStrings.xml><?xml version="1.0" encoding="utf-8"?>
<sst xmlns="http://schemas.openxmlformats.org/spreadsheetml/2006/main" count="109" uniqueCount="96">
  <si>
    <t>The International Association of Lions Clubs</t>
  </si>
  <si>
    <t xml:space="preserve">(Lions Clubs International) </t>
  </si>
  <si>
    <t xml:space="preserve"> Multiple District N</t>
  </si>
  <si>
    <t>2015 - 2016</t>
  </si>
  <si>
    <t>2014 - 2015</t>
  </si>
  <si>
    <t>2013 - 2014</t>
  </si>
  <si>
    <t>2013- 2014</t>
  </si>
  <si>
    <t>2012- 2013</t>
  </si>
  <si>
    <t>2011 - 2012</t>
  </si>
  <si>
    <t>2010 - 2011</t>
  </si>
  <si>
    <t>2009 - 2010</t>
  </si>
  <si>
    <t>2008- 2009</t>
  </si>
  <si>
    <t>2007-2008</t>
  </si>
  <si>
    <t>Budget</t>
  </si>
  <si>
    <t>Actual</t>
  </si>
  <si>
    <t xml:space="preserve">Budget </t>
  </si>
  <si>
    <t xml:space="preserve">Actual </t>
  </si>
  <si>
    <t xml:space="preserve">REVENUE </t>
  </si>
  <si>
    <t>Per Capita Dues</t>
  </si>
  <si>
    <t>MD N Pins</t>
  </si>
  <si>
    <t>Education and Training (LCI: DGE &amp; VDG)</t>
  </si>
  <si>
    <t>Special Projects</t>
  </si>
  <si>
    <t>PR Grant(from LCI) MD N Projects</t>
  </si>
  <si>
    <t>Tailtwisting</t>
  </si>
  <si>
    <t>Website Ad Blocks</t>
  </si>
  <si>
    <t>GIC Interest Receivable</t>
  </si>
  <si>
    <t xml:space="preserve">Fall Conference </t>
  </si>
  <si>
    <t>Convention Profit</t>
  </si>
  <si>
    <t>MD N Projects  - Parade Scarf</t>
  </si>
  <si>
    <t xml:space="preserve">Total Revenue </t>
  </si>
  <si>
    <t>EXPENDITURES</t>
  </si>
  <si>
    <t>Administration</t>
  </si>
  <si>
    <t>Bank Fees</t>
  </si>
  <si>
    <t>MD Directories</t>
  </si>
  <si>
    <t>MD Newsletter</t>
  </si>
  <si>
    <t>Fall Conference</t>
  </si>
  <si>
    <t>Council Meetings Expenses Council Chair</t>
  </si>
  <si>
    <t>CST</t>
  </si>
  <si>
    <t>Budget &amp; Audit</t>
  </si>
  <si>
    <t>Constitution &amp; By-Laws</t>
  </si>
  <si>
    <t>Long Range Planning</t>
  </si>
  <si>
    <t>MD Program and Services</t>
  </si>
  <si>
    <t>Global Membership Coordinator</t>
  </si>
  <si>
    <t>Communication</t>
  </si>
  <si>
    <t>Protocol</t>
  </si>
  <si>
    <t>Postage and Supplies</t>
  </si>
  <si>
    <t>LCI Supplies</t>
  </si>
  <si>
    <t>Meeting Expense/Conference Calls</t>
  </si>
  <si>
    <t>MD Pins</t>
  </si>
  <si>
    <t>Tail Twisting</t>
  </si>
  <si>
    <t>Website</t>
  </si>
  <si>
    <t>Banner</t>
  </si>
  <si>
    <t>Office Equipment</t>
  </si>
  <si>
    <t>Council Awards and Presentations</t>
  </si>
  <si>
    <t>Canadian Caucus</t>
  </si>
  <si>
    <t>Parade Scarf</t>
  </si>
  <si>
    <t>Total Administration</t>
  </si>
  <si>
    <t>Convention</t>
  </si>
  <si>
    <t>Multiple District N Convention</t>
  </si>
  <si>
    <t>Total Convention</t>
  </si>
  <si>
    <t>PROMOTION FUND</t>
  </si>
  <si>
    <t>International Candidate Support</t>
  </si>
  <si>
    <t>Education and Training</t>
  </si>
  <si>
    <t>Leadership Grants</t>
  </si>
  <si>
    <t>LCI Grant Lions Quest</t>
  </si>
  <si>
    <t>Conference /Convention Sessions</t>
  </si>
  <si>
    <t>MD Training - VDGE &amp; DGE</t>
  </si>
  <si>
    <t>Global Leadership Chairs</t>
  </si>
  <si>
    <t>Multiple District Training Development</t>
  </si>
  <si>
    <t>Total Education and Training</t>
  </si>
  <si>
    <t>Activities</t>
  </si>
  <si>
    <t>Leo Convention Funding/Autism Guide Dog Project</t>
  </si>
  <si>
    <t>Peace Poster Contest</t>
  </si>
  <si>
    <t>Plaques for Contestants</t>
  </si>
  <si>
    <t>Speak Out Awards</t>
  </si>
  <si>
    <t>Total Activities</t>
  </si>
  <si>
    <t>Total Expenditures</t>
  </si>
  <si>
    <t>Net Revenues over Expenditures</t>
  </si>
  <si>
    <t>Received From Previous Administration</t>
  </si>
  <si>
    <t>Balance at end of year</t>
  </si>
  <si>
    <t>Membership &gt;&gt;&gt;</t>
  </si>
  <si>
    <t>NOTE: IT IS LIKELY THAT THE MD TRAINING WILL LIKELY REQUIRE AN OVER EXPENDITURE</t>
  </si>
  <si>
    <t xml:space="preserve">OF $1,000 IN THE CURRENT YEAR. THIS WAS DISCUSSED AND ACCEPTED BY </t>
  </si>
  <si>
    <t>2016 - 2017</t>
  </si>
  <si>
    <t>Meeting Revenu</t>
  </si>
  <si>
    <t>MD Project - Eyeglass Recycle N1 N2</t>
  </si>
  <si>
    <t>MD Project - Eyeglass Recycle N3 N4</t>
  </si>
  <si>
    <t>MD Project - Centennial Multiple</t>
  </si>
  <si>
    <t>MD Project - Centennial Districts</t>
  </si>
  <si>
    <t>Eyeglass Recycle N3 N4</t>
  </si>
  <si>
    <t>Eyeglass Recycle N1 N2</t>
  </si>
  <si>
    <t>Centennial Districts</t>
  </si>
  <si>
    <t>Centennial Multiple</t>
  </si>
  <si>
    <t>2017 - 2018</t>
  </si>
  <si>
    <t>MD N Convention Chair "Next Year"</t>
  </si>
  <si>
    <t>THE COUNCIL OF GOVERNORS (2015 - 2016)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</si>
</sst>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sz val="14"/>
      <name val="Arial"/>
      <family val="2"/>
    </font>
    <font>
      <sz val="10"/>
      <color theme="1"/>
      <name val="Times New Roman"/>
      <family val="2"/>
    </font>
    <font>
      <u/>
      <sz val="10"/>
      <name val="Arial"/>
      <family val="2"/>
    </font>
    <font>
      <b/>
      <u val="singleAccounting"/>
      <sz val="10"/>
      <color theme="1"/>
      <name val="Arial"/>
      <family val="2"/>
    </font>
    <font>
      <b/>
      <u val="doubleAccounting"/>
      <sz val="10"/>
      <name val="Arial"/>
      <family val="2"/>
    </font>
    <font>
      <b/>
      <u val="doubleAccounting"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43" fontId="2" fillId="0" borderId="0" xfId="1" applyFont="1"/>
    <xf numFmtId="43" fontId="2" fillId="2" borderId="0" xfId="1" applyFont="1" applyFill="1"/>
    <xf numFmtId="43" fontId="2" fillId="2" borderId="0" xfId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43" fontId="4" fillId="0" borderId="0" xfId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1" applyNumberFormat="1" applyFont="1" applyAlignment="1">
      <alignment horizontal="center"/>
    </xf>
    <xf numFmtId="0" fontId="4" fillId="2" borderId="0" xfId="1" applyNumberFormat="1" applyFont="1" applyFill="1" applyAlignment="1">
      <alignment horizontal="center" vertical="center"/>
    </xf>
    <xf numFmtId="0" fontId="6" fillId="0" borderId="0" xfId="0" applyNumberFormat="1" applyFont="1"/>
    <xf numFmtId="0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4" fillId="2" borderId="0" xfId="1" applyFont="1" applyFill="1" applyAlignment="1">
      <alignment horizontal="center" wrapText="1"/>
    </xf>
    <xf numFmtId="43" fontId="4" fillId="0" borderId="0" xfId="1" applyFont="1" applyAlignment="1">
      <alignment horizontal="center" wrapText="1"/>
    </xf>
    <xf numFmtId="43" fontId="4" fillId="2" borderId="0" xfId="1" applyFont="1" applyFill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2" fillId="0" borderId="0" xfId="1" applyFont="1" applyAlignment="1">
      <alignment wrapText="1"/>
    </xf>
    <xf numFmtId="0" fontId="0" fillId="0" borderId="0" xfId="0" applyAlignment="1">
      <alignment wrapText="1"/>
    </xf>
    <xf numFmtId="0" fontId="7" fillId="0" borderId="0" xfId="2" applyFont="1" applyAlignment="1" applyProtection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8" fillId="2" borderId="0" xfId="1" applyFont="1" applyFill="1" applyAlignment="1" applyProtection="1">
      <alignment horizontal="center" vertical="center" wrapText="1"/>
    </xf>
    <xf numFmtId="43" fontId="8" fillId="0" borderId="0" xfId="1" applyFont="1" applyAlignment="1" applyProtection="1">
      <alignment horizontal="center" wrapText="1"/>
    </xf>
    <xf numFmtId="43" fontId="8" fillId="0" borderId="0" xfId="1" applyFont="1" applyAlignment="1" applyProtection="1">
      <alignment horizontal="center" vertical="center" wrapText="1"/>
    </xf>
    <xf numFmtId="43" fontId="8" fillId="2" borderId="0" xfId="1" applyFont="1" applyFill="1" applyAlignment="1" applyProtection="1">
      <alignment horizontal="center" wrapText="1"/>
    </xf>
    <xf numFmtId="43" fontId="2" fillId="0" borderId="0" xfId="1" applyFont="1" applyAlignment="1">
      <alignment horizontal="center" vertical="center" wrapText="1"/>
    </xf>
    <xf numFmtId="43" fontId="8" fillId="0" borderId="0" xfId="1" applyFont="1" applyAlignment="1">
      <alignment horizontal="center" wrapText="1"/>
    </xf>
    <xf numFmtId="0" fontId="4" fillId="0" borderId="0" xfId="0" applyFont="1"/>
    <xf numFmtId="0" fontId="9" fillId="0" borderId="0" xfId="0" applyFont="1"/>
    <xf numFmtId="0" fontId="6" fillId="0" borderId="0" xfId="0" applyFont="1" applyBorder="1"/>
    <xf numFmtId="0" fontId="6" fillId="2" borderId="0" xfId="0" applyFont="1" applyFill="1" applyBorder="1"/>
    <xf numFmtId="43" fontId="6" fillId="0" borderId="0" xfId="1" applyFont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164" fontId="6" fillId="0" borderId="0" xfId="1" applyNumberFormat="1" applyFont="1"/>
    <xf numFmtId="164" fontId="6" fillId="0" borderId="0" xfId="1" applyNumberFormat="1" applyFont="1" applyBorder="1"/>
    <xf numFmtId="164" fontId="6" fillId="2" borderId="0" xfId="1" applyNumberFormat="1" applyFont="1" applyFill="1" applyBorder="1"/>
    <xf numFmtId="164" fontId="2" fillId="2" borderId="0" xfId="1" applyNumberFormat="1" applyFont="1" applyFill="1"/>
    <xf numFmtId="164" fontId="2" fillId="2" borderId="0" xfId="1" applyNumberFormat="1" applyFont="1" applyFill="1" applyBorder="1"/>
    <xf numFmtId="0" fontId="8" fillId="0" borderId="0" xfId="0" applyFont="1"/>
    <xf numFmtId="164" fontId="10" fillId="0" borderId="0" xfId="1" applyNumberFormat="1" applyFont="1" applyBorder="1"/>
    <xf numFmtId="164" fontId="10" fillId="2" borderId="0" xfId="1" applyNumberFormat="1" applyFont="1" applyFill="1" applyBorder="1"/>
    <xf numFmtId="43" fontId="4" fillId="2" borderId="1" xfId="1" applyFont="1" applyFill="1" applyBorder="1"/>
    <xf numFmtId="43" fontId="4" fillId="2" borderId="2" xfId="1" applyFont="1" applyFill="1" applyBorder="1"/>
    <xf numFmtId="43" fontId="4" fillId="0" borderId="2" xfId="1" applyFont="1" applyBorder="1"/>
    <xf numFmtId="43" fontId="8" fillId="0" borderId="0" xfId="1" applyFont="1"/>
    <xf numFmtId="0" fontId="11" fillId="0" borderId="0" xfId="0" applyFont="1"/>
    <xf numFmtId="164" fontId="12" fillId="2" borderId="0" xfId="1" applyNumberFormat="1" applyFont="1" applyFill="1" applyBorder="1"/>
    <xf numFmtId="43" fontId="12" fillId="2" borderId="0" xfId="1" applyFont="1" applyFill="1" applyBorder="1"/>
    <xf numFmtId="43" fontId="12" fillId="2" borderId="0" xfId="1" applyFont="1" applyFill="1"/>
    <xf numFmtId="43" fontId="12" fillId="0" borderId="0" xfId="1" applyFont="1"/>
    <xf numFmtId="41" fontId="6" fillId="0" borderId="0" xfId="0" applyNumberFormat="1" applyFont="1"/>
    <xf numFmtId="0" fontId="6" fillId="0" borderId="0" xfId="0" applyFont="1" applyAlignment="1">
      <alignment horizontal="right"/>
    </xf>
    <xf numFmtId="43" fontId="4" fillId="2" borderId="3" xfId="1" applyFont="1" applyFill="1" applyBorder="1"/>
    <xf numFmtId="43" fontId="4" fillId="0" borderId="3" xfId="1" applyFont="1" applyBorder="1"/>
    <xf numFmtId="43" fontId="13" fillId="0" borderId="0" xfId="1" applyFont="1"/>
    <xf numFmtId="43" fontId="2" fillId="0" borderId="0" xfId="1" applyFont="1" applyBorder="1"/>
    <xf numFmtId="164" fontId="14" fillId="0" borderId="0" xfId="1" applyNumberFormat="1" applyFont="1" applyBorder="1"/>
    <xf numFmtId="164" fontId="14" fillId="2" borderId="0" xfId="1" applyNumberFormat="1" applyFont="1" applyFill="1" applyBorder="1"/>
    <xf numFmtId="164" fontId="4" fillId="0" borderId="0" xfId="1" applyNumberFormat="1" applyFont="1" applyBorder="1"/>
    <xf numFmtId="164" fontId="8" fillId="2" borderId="0" xfId="1" applyNumberFormat="1" applyFont="1" applyFill="1" applyBorder="1"/>
    <xf numFmtId="164" fontId="4" fillId="2" borderId="0" xfId="1" applyNumberFormat="1" applyFont="1" applyFill="1" applyBorder="1"/>
    <xf numFmtId="0" fontId="13" fillId="0" borderId="0" xfId="0" applyFont="1"/>
    <xf numFmtId="164" fontId="8" fillId="0" borderId="0" xfId="1" applyNumberFormat="1" applyFont="1" applyBorder="1"/>
    <xf numFmtId="43" fontId="4" fillId="2" borderId="0" xfId="1" applyFont="1" applyFill="1" applyBorder="1"/>
    <xf numFmtId="43" fontId="4" fillId="0" borderId="0" xfId="1" applyFont="1" applyBorder="1"/>
    <xf numFmtId="164" fontId="15" fillId="0" borderId="0" xfId="1" applyNumberFormat="1" applyFont="1" applyBorder="1"/>
    <xf numFmtId="164" fontId="16" fillId="0" borderId="0" xfId="1" applyNumberFormat="1" applyFont="1" applyBorder="1"/>
    <xf numFmtId="164" fontId="15" fillId="2" borderId="0" xfId="1" applyNumberFormat="1" applyFont="1" applyFill="1" applyBorder="1"/>
    <xf numFmtId="43" fontId="4" fillId="2" borderId="4" xfId="1" applyFont="1" applyFill="1" applyBorder="1"/>
    <xf numFmtId="43" fontId="4" fillId="0" borderId="4" xfId="1" applyFont="1" applyBorder="1"/>
    <xf numFmtId="0" fontId="4" fillId="0" borderId="0" xfId="0" applyFont="1" applyAlignment="1">
      <alignment horizontal="left"/>
    </xf>
    <xf numFmtId="164" fontId="8" fillId="0" borderId="0" xfId="1" applyNumberFormat="1" applyFont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8" fillId="0" borderId="0" xfId="1" applyNumberFormat="1" applyFont="1" applyBorder="1" applyAlignment="1"/>
    <xf numFmtId="164" fontId="8" fillId="2" borderId="0" xfId="1" applyNumberFormat="1" applyFont="1" applyFill="1" applyBorder="1" applyAlignment="1"/>
    <xf numFmtId="43" fontId="4" fillId="2" borderId="0" xfId="1" applyFont="1" applyFill="1" applyAlignment="1"/>
    <xf numFmtId="43" fontId="4" fillId="0" borderId="0" xfId="1" applyFont="1" applyAlignment="1"/>
    <xf numFmtId="43" fontId="4" fillId="0" borderId="0" xfId="1" applyFont="1" applyAlignment="1">
      <alignment horizontal="right"/>
    </xf>
    <xf numFmtId="164" fontId="17" fillId="2" borderId="0" xfId="1" applyNumberFormat="1" applyFont="1" applyFill="1" applyBorder="1"/>
    <xf numFmtId="43" fontId="18" fillId="2" borderId="5" xfId="1" applyFont="1" applyFill="1" applyBorder="1"/>
    <xf numFmtId="43" fontId="18" fillId="0" borderId="5" xfId="1" applyFont="1" applyBorder="1"/>
    <xf numFmtId="164" fontId="19" fillId="0" borderId="0" xfId="1" applyNumberFormat="1" applyFont="1" applyBorder="1"/>
    <xf numFmtId="164" fontId="18" fillId="2" borderId="0" xfId="1" applyNumberFormat="1" applyFont="1" applyFill="1" applyBorder="1"/>
    <xf numFmtId="43" fontId="18" fillId="2" borderId="0" xfId="1" applyFont="1" applyFill="1"/>
    <xf numFmtId="43" fontId="18" fillId="0" borderId="0" xfId="1" applyFont="1"/>
    <xf numFmtId="0" fontId="12" fillId="0" borderId="0" xfId="0" applyFont="1"/>
    <xf numFmtId="0" fontId="19" fillId="0" borderId="0" xfId="0" applyFont="1"/>
    <xf numFmtId="164" fontId="19" fillId="0" borderId="0" xfId="1" applyNumberFormat="1" applyFont="1"/>
    <xf numFmtId="164" fontId="19" fillId="2" borderId="0" xfId="1" applyNumberFormat="1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43" fontId="8" fillId="3" borderId="0" xfId="1" applyFont="1" applyFill="1" applyAlignment="1" applyProtection="1">
      <alignment horizontal="center" vertical="center" wrapText="1"/>
    </xf>
    <xf numFmtId="0" fontId="6" fillId="3" borderId="0" xfId="0" applyFont="1" applyFill="1"/>
    <xf numFmtId="164" fontId="6" fillId="3" borderId="0" xfId="1" applyNumberFormat="1" applyFont="1" applyFill="1"/>
    <xf numFmtId="164" fontId="10" fillId="3" borderId="0" xfId="1" applyNumberFormat="1" applyFont="1" applyFill="1" applyBorder="1"/>
    <xf numFmtId="164" fontId="15" fillId="3" borderId="0" xfId="1" applyNumberFormat="1" applyFont="1" applyFill="1" applyBorder="1"/>
    <xf numFmtId="164" fontId="8" fillId="3" borderId="0" xfId="1" applyNumberFormat="1" applyFont="1" applyFill="1" applyBorder="1" applyAlignment="1">
      <alignment horizontal="center"/>
    </xf>
    <xf numFmtId="164" fontId="6" fillId="3" borderId="0" xfId="1" applyNumberFormat="1" applyFont="1" applyFill="1" applyBorder="1"/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ngster\My%20Documents\MD%20N\2012-2013\Financials%202012-13%20Detail%20workbook%20Template%20for%20C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ngster\My%20Documents\MD%20N\2014-2015\Budget%202014%202015%20Susan%20work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Stm Revenue &amp; Expense"/>
      <sheetName val="Revenues"/>
      <sheetName val="Expenditures"/>
      <sheetName val="MD Dues"/>
      <sheetName val="Leadership Institute"/>
      <sheetName val="Instructions"/>
      <sheetName val="MD N Rules of Audit"/>
      <sheetName val="Sheet1"/>
    </sheetNames>
    <sheetDataSet>
      <sheetData sheetId="0" refreshError="1"/>
      <sheetData sheetId="1" refreshError="1">
        <row r="8">
          <cell r="G8">
            <v>31033.75</v>
          </cell>
        </row>
        <row r="9">
          <cell r="G9">
            <v>2619</v>
          </cell>
        </row>
        <row r="10">
          <cell r="G10">
            <v>816</v>
          </cell>
        </row>
        <row r="11">
          <cell r="G11">
            <v>0</v>
          </cell>
        </row>
        <row r="12">
          <cell r="G12">
            <v>9900</v>
          </cell>
        </row>
        <row r="13">
          <cell r="G13">
            <v>0</v>
          </cell>
        </row>
        <row r="14">
          <cell r="G14">
            <v>175</v>
          </cell>
        </row>
        <row r="15">
          <cell r="G15">
            <v>193.34</v>
          </cell>
        </row>
        <row r="16">
          <cell r="G16">
            <v>1779.74</v>
          </cell>
        </row>
        <row r="17">
          <cell r="G17">
            <v>3476.5</v>
          </cell>
        </row>
        <row r="18">
          <cell r="G18">
            <v>1239</v>
          </cell>
        </row>
        <row r="23">
          <cell r="G23">
            <v>166.68</v>
          </cell>
        </row>
        <row r="24">
          <cell r="G24">
            <v>0</v>
          </cell>
        </row>
        <row r="25">
          <cell r="G25">
            <v>1159.3999999999999</v>
          </cell>
        </row>
        <row r="26">
          <cell r="G26">
            <v>1837.1299999999999</v>
          </cell>
        </row>
        <row r="27">
          <cell r="G27">
            <v>1589.5399999999997</v>
          </cell>
        </row>
        <row r="28">
          <cell r="G28">
            <v>1986.45</v>
          </cell>
        </row>
        <row r="29">
          <cell r="G29">
            <v>486.82</v>
          </cell>
        </row>
        <row r="30">
          <cell r="G30">
            <v>2695.24</v>
          </cell>
        </row>
        <row r="32">
          <cell r="G32">
            <v>1799.5499999999997</v>
          </cell>
        </row>
        <row r="33">
          <cell r="G33">
            <v>192.95</v>
          </cell>
        </row>
        <row r="34">
          <cell r="G34">
            <v>967.99</v>
          </cell>
        </row>
        <row r="35">
          <cell r="G35">
            <v>529.98</v>
          </cell>
        </row>
        <row r="36">
          <cell r="G36">
            <v>89.350000000000009</v>
          </cell>
        </row>
        <row r="37">
          <cell r="G37">
            <v>331.12</v>
          </cell>
        </row>
        <row r="38">
          <cell r="G38">
            <v>2816.56</v>
          </cell>
        </row>
        <row r="39">
          <cell r="G39">
            <v>0</v>
          </cell>
        </row>
        <row r="40">
          <cell r="G40">
            <v>11.63</v>
          </cell>
        </row>
        <row r="41">
          <cell r="G41">
            <v>222.05</v>
          </cell>
        </row>
        <row r="42">
          <cell r="G42">
            <v>0</v>
          </cell>
        </row>
        <row r="43">
          <cell r="G43">
            <v>332.28</v>
          </cell>
        </row>
        <row r="44">
          <cell r="G44">
            <v>1238.9000000000001</v>
          </cell>
        </row>
        <row r="48">
          <cell r="G48">
            <v>3539.37</v>
          </cell>
        </row>
        <row r="49">
          <cell r="G49">
            <v>994.14</v>
          </cell>
        </row>
        <row r="53">
          <cell r="G53">
            <v>2100</v>
          </cell>
        </row>
        <row r="54">
          <cell r="G54">
            <v>0</v>
          </cell>
        </row>
        <row r="55">
          <cell r="G55">
            <v>5496.7</v>
          </cell>
        </row>
        <row r="56">
          <cell r="G56">
            <v>1429.6</v>
          </cell>
        </row>
        <row r="57">
          <cell r="G57">
            <v>1289.0999999999999</v>
          </cell>
        </row>
        <row r="62">
          <cell r="G62">
            <v>450</v>
          </cell>
        </row>
        <row r="63">
          <cell r="G63">
            <v>50.23</v>
          </cell>
        </row>
        <row r="64">
          <cell r="G64">
            <v>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 for consideration"/>
      <sheetName val="GIC Investments"/>
      <sheetName val="Accounts"/>
      <sheetName val="Revenue Expense Detail "/>
      <sheetName val="Expense Summary for Publication"/>
      <sheetName val="Chair Budgets 2014-15"/>
      <sheetName val="Chair Budgets 2013-14"/>
      <sheetName val="Chair budgets 2012-13"/>
      <sheetName val="Chair Budgets 2011-12"/>
      <sheetName val="Chair Expenses Budget 2010 11"/>
      <sheetName val="Chair Expenses Actual 2009-10"/>
      <sheetName val="Chair Expenses Actual 2008 09"/>
      <sheetName val="Rules of Au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L28">
            <v>100</v>
          </cell>
        </row>
        <row r="29">
          <cell r="K29">
            <v>445</v>
          </cell>
        </row>
        <row r="37">
          <cell r="L37">
            <v>100</v>
          </cell>
        </row>
        <row r="38">
          <cell r="L38">
            <v>100</v>
          </cell>
        </row>
        <row r="39">
          <cell r="L39">
            <v>921</v>
          </cell>
        </row>
        <row r="51">
          <cell r="L51">
            <v>5687</v>
          </cell>
        </row>
        <row r="56">
          <cell r="C56">
            <v>3115</v>
          </cell>
          <cell r="D56">
            <v>2286</v>
          </cell>
          <cell r="E56">
            <v>2736</v>
          </cell>
          <cell r="F56">
            <v>2336</v>
          </cell>
          <cell r="G56">
            <v>575</v>
          </cell>
          <cell r="H56">
            <v>2618</v>
          </cell>
          <cell r="I56">
            <v>0</v>
          </cell>
          <cell r="J56">
            <v>1021</v>
          </cell>
          <cell r="O56">
            <v>185</v>
          </cell>
        </row>
      </sheetData>
      <sheetData sheetId="6" refreshError="1">
        <row r="28">
          <cell r="K28">
            <v>100</v>
          </cell>
        </row>
        <row r="37">
          <cell r="K37">
            <v>100</v>
          </cell>
        </row>
        <row r="38">
          <cell r="K38">
            <v>100</v>
          </cell>
        </row>
        <row r="51">
          <cell r="K51">
            <v>5687</v>
          </cell>
        </row>
        <row r="53">
          <cell r="K53">
            <v>1000</v>
          </cell>
        </row>
        <row r="56">
          <cell r="C56">
            <v>3694</v>
          </cell>
          <cell r="D56">
            <v>3465</v>
          </cell>
          <cell r="E56">
            <v>3315</v>
          </cell>
          <cell r="F56">
            <v>3315</v>
          </cell>
          <cell r="G56">
            <v>605</v>
          </cell>
          <cell r="H56">
            <v>1917</v>
          </cell>
          <cell r="I56">
            <v>1897</v>
          </cell>
          <cell r="K56">
            <v>8854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tabSelected="1" view="pageLayout" zoomScaleNormal="100" workbookViewId="0">
      <selection activeCell="E4" sqref="E4"/>
    </sheetView>
  </sheetViews>
  <sheetFormatPr defaultRowHeight="15" x14ac:dyDescent="0.25"/>
  <cols>
    <col min="1" max="4" width="4.28515625" customWidth="1"/>
    <col min="5" max="5" width="24.85546875" customWidth="1"/>
    <col min="6" max="6" width="9" customWidth="1"/>
    <col min="14" max="21" width="0" hidden="1" customWidth="1"/>
  </cols>
  <sheetData>
    <row r="1" spans="1:32" ht="15.75" x14ac:dyDescent="0.2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4"/>
      <c r="R1" s="4"/>
      <c r="S1" s="5"/>
      <c r="T1" s="5"/>
      <c r="U1" s="1"/>
      <c r="V1" s="1"/>
      <c r="W1" s="1"/>
      <c r="X1" s="1"/>
    </row>
    <row r="2" spans="1:32" ht="15.75" x14ac:dyDescent="0.25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09"/>
      <c r="Q2" s="6"/>
      <c r="R2" s="6"/>
      <c r="S2" s="7"/>
      <c r="T2" s="7"/>
      <c r="U2" s="8"/>
      <c r="V2" s="8"/>
      <c r="W2" s="8"/>
      <c r="X2" s="8"/>
    </row>
    <row r="3" spans="1:32" ht="15.75" x14ac:dyDescent="0.25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6"/>
      <c r="R3" s="6"/>
      <c r="S3" s="7"/>
      <c r="T3" s="7"/>
      <c r="U3" s="8"/>
      <c r="V3" s="8"/>
      <c r="W3" s="8"/>
      <c r="X3" s="8"/>
    </row>
    <row r="4" spans="1:32" x14ac:dyDescent="0.25">
      <c r="A4" s="9"/>
      <c r="B4" s="9"/>
      <c r="C4" s="10"/>
      <c r="D4" s="9"/>
      <c r="E4" s="10" t="s">
        <v>80</v>
      </c>
      <c r="F4" s="10">
        <v>5636</v>
      </c>
      <c r="G4" s="10">
        <v>5700</v>
      </c>
      <c r="H4" s="98">
        <v>5700</v>
      </c>
      <c r="I4" s="10">
        <v>5700</v>
      </c>
      <c r="J4" s="11">
        <v>5729</v>
      </c>
      <c r="K4" s="12">
        <v>5700</v>
      </c>
      <c r="L4" s="13">
        <v>5636</v>
      </c>
      <c r="M4" s="12">
        <v>5700</v>
      </c>
      <c r="N4" s="14"/>
      <c r="O4" s="15">
        <v>5661</v>
      </c>
      <c r="P4" s="15">
        <v>5647</v>
      </c>
      <c r="Q4" s="16">
        <v>5727</v>
      </c>
      <c r="R4" s="16">
        <v>5873</v>
      </c>
      <c r="S4" s="17">
        <v>5949</v>
      </c>
      <c r="T4" s="17">
        <v>5928</v>
      </c>
      <c r="U4" s="8"/>
      <c r="V4" s="8"/>
      <c r="W4" s="8"/>
      <c r="X4" s="8"/>
    </row>
    <row r="5" spans="1:32" ht="26.25" x14ac:dyDescent="0.25">
      <c r="A5" s="18"/>
      <c r="B5" s="18"/>
      <c r="C5" s="18"/>
      <c r="D5" s="18"/>
      <c r="E5" s="19"/>
      <c r="F5" s="19" t="s">
        <v>93</v>
      </c>
      <c r="G5" s="19" t="s">
        <v>83</v>
      </c>
      <c r="H5" s="99" t="s">
        <v>3</v>
      </c>
      <c r="I5" s="19" t="s">
        <v>3</v>
      </c>
      <c r="J5" s="20" t="s">
        <v>4</v>
      </c>
      <c r="K5" s="21" t="s">
        <v>4</v>
      </c>
      <c r="L5" s="22" t="s">
        <v>5</v>
      </c>
      <c r="M5" s="23" t="s">
        <v>6</v>
      </c>
      <c r="N5" s="24"/>
      <c r="O5" s="22" t="s">
        <v>7</v>
      </c>
      <c r="P5" s="20" t="s">
        <v>8</v>
      </c>
      <c r="Q5" s="20" t="s">
        <v>9</v>
      </c>
      <c r="R5" s="20" t="s">
        <v>10</v>
      </c>
      <c r="S5" s="21" t="s">
        <v>11</v>
      </c>
      <c r="T5" s="21" t="s">
        <v>12</v>
      </c>
      <c r="U5" s="25"/>
      <c r="V5" s="25"/>
      <c r="W5" s="25"/>
      <c r="X5" s="25"/>
      <c r="Y5" s="26"/>
      <c r="Z5" s="26"/>
      <c r="AA5" s="26"/>
      <c r="AB5" s="26"/>
      <c r="AC5" s="26"/>
      <c r="AD5" s="26"/>
      <c r="AE5" s="26"/>
      <c r="AF5" s="26"/>
    </row>
    <row r="6" spans="1:32" x14ac:dyDescent="0.25">
      <c r="A6" s="18"/>
      <c r="B6" s="18"/>
      <c r="C6" s="27"/>
      <c r="D6" s="28"/>
      <c r="E6" s="18"/>
      <c r="F6" s="29" t="s">
        <v>13</v>
      </c>
      <c r="G6" s="29" t="s">
        <v>13</v>
      </c>
      <c r="H6" s="100" t="s">
        <v>14</v>
      </c>
      <c r="I6" s="29" t="s">
        <v>13</v>
      </c>
      <c r="J6" s="30" t="s">
        <v>14</v>
      </c>
      <c r="K6" s="31" t="s">
        <v>15</v>
      </c>
      <c r="L6" s="30" t="s">
        <v>14</v>
      </c>
      <c r="M6" s="32" t="s">
        <v>13</v>
      </c>
      <c r="N6" s="24"/>
      <c r="O6" s="30" t="s">
        <v>14</v>
      </c>
      <c r="P6" s="33" t="s">
        <v>14</v>
      </c>
      <c r="Q6" s="33" t="s">
        <v>14</v>
      </c>
      <c r="R6" s="33" t="s">
        <v>16</v>
      </c>
      <c r="S6" s="34" t="s">
        <v>14</v>
      </c>
      <c r="T6" s="35" t="s">
        <v>14</v>
      </c>
      <c r="U6" s="25"/>
      <c r="V6" s="25"/>
      <c r="W6" s="25"/>
      <c r="X6" s="25"/>
      <c r="Y6" s="26"/>
      <c r="Z6" s="26"/>
      <c r="AA6" s="26"/>
      <c r="AB6" s="26"/>
      <c r="AC6" s="26"/>
      <c r="AD6" s="26"/>
      <c r="AE6" s="26"/>
      <c r="AF6" s="26"/>
    </row>
    <row r="7" spans="1:32" x14ac:dyDescent="0.25">
      <c r="A7" s="36" t="s">
        <v>17</v>
      </c>
      <c r="B7" s="37"/>
      <c r="C7" s="9"/>
      <c r="D7" s="9"/>
      <c r="E7" s="9"/>
      <c r="F7" s="42"/>
      <c r="G7" s="9"/>
      <c r="H7" s="101"/>
      <c r="I7" s="38"/>
      <c r="J7" s="39"/>
      <c r="K7" s="40"/>
      <c r="L7" s="41"/>
      <c r="M7" s="40"/>
      <c r="N7" s="38"/>
      <c r="O7" s="41"/>
      <c r="P7" s="3"/>
      <c r="Q7" s="3"/>
      <c r="R7" s="3"/>
      <c r="S7" s="1"/>
      <c r="T7" s="1"/>
      <c r="U7" s="1"/>
      <c r="V7" s="1"/>
      <c r="W7" s="1"/>
      <c r="X7" s="1"/>
    </row>
    <row r="8" spans="1:32" x14ac:dyDescent="0.25">
      <c r="A8" s="9"/>
      <c r="B8" s="9" t="s">
        <v>18</v>
      </c>
      <c r="C8" s="9"/>
      <c r="D8" s="9"/>
      <c r="E8" s="9"/>
      <c r="F8" s="42">
        <f>5.5*F4</f>
        <v>30998</v>
      </c>
      <c r="G8" s="42">
        <f>5.5*G4</f>
        <v>31350</v>
      </c>
      <c r="H8" s="102">
        <f>15675.94+3135.22+1140.07+9975.66+1425.11</f>
        <v>31352</v>
      </c>
      <c r="I8" s="43">
        <f>I4*5.5</f>
        <v>31350</v>
      </c>
      <c r="J8" s="44">
        <f>15754.69+3150.97+1145.8+10025.77+1432.27</f>
        <v>31509.5</v>
      </c>
      <c r="K8" s="43">
        <f>5.5*K4</f>
        <v>31350</v>
      </c>
      <c r="L8" s="44">
        <f>+L4*5.5</f>
        <v>30998</v>
      </c>
      <c r="M8" s="43">
        <f>M4*5.5</f>
        <v>31350</v>
      </c>
      <c r="N8" s="43"/>
      <c r="O8" s="44">
        <f>'[1]Stm Revenue &amp; Expense'!$G$8</f>
        <v>31033.75</v>
      </c>
      <c r="P8" s="45">
        <v>31231.75</v>
      </c>
      <c r="Q8" s="2">
        <v>31746</v>
      </c>
      <c r="R8" s="2">
        <v>23606</v>
      </c>
      <c r="S8" s="1">
        <v>23504</v>
      </c>
      <c r="T8" s="1">
        <v>23922</v>
      </c>
      <c r="U8" s="1"/>
      <c r="V8" s="1"/>
      <c r="W8" s="1"/>
      <c r="X8" s="1"/>
    </row>
    <row r="9" spans="1:32" x14ac:dyDescent="0.25">
      <c r="A9" s="9"/>
      <c r="B9" s="9" t="s">
        <v>19</v>
      </c>
      <c r="C9" s="9"/>
      <c r="D9" s="9"/>
      <c r="E9" s="9"/>
      <c r="F9" s="42">
        <v>3000</v>
      </c>
      <c r="G9" s="42">
        <v>3000</v>
      </c>
      <c r="H9" s="102">
        <v>2685</v>
      </c>
      <c r="I9" s="43">
        <v>3000</v>
      </c>
      <c r="J9" s="44">
        <f>2644+20</f>
        <v>2664</v>
      </c>
      <c r="K9" s="43">
        <v>2900</v>
      </c>
      <c r="L9" s="44">
        <v>3000</v>
      </c>
      <c r="M9" s="43">
        <v>2900</v>
      </c>
      <c r="N9" s="43"/>
      <c r="O9" s="44">
        <f>'[1]Stm Revenue &amp; Expense'!$G$9</f>
        <v>2619</v>
      </c>
      <c r="P9" s="45">
        <v>2535</v>
      </c>
      <c r="Q9" s="2">
        <v>2820</v>
      </c>
      <c r="R9" s="2">
        <v>2734.11</v>
      </c>
      <c r="S9" s="1">
        <v>2913</v>
      </c>
      <c r="T9" s="1">
        <v>2602.4299999999998</v>
      </c>
      <c r="U9" s="1"/>
      <c r="V9" s="1"/>
      <c r="W9" s="1"/>
      <c r="X9" s="1"/>
    </row>
    <row r="10" spans="1:32" x14ac:dyDescent="0.25">
      <c r="A10" s="9"/>
      <c r="B10" s="9" t="s">
        <v>20</v>
      </c>
      <c r="C10" s="9"/>
      <c r="D10" s="9"/>
      <c r="E10" s="9"/>
      <c r="F10" s="42">
        <v>500</v>
      </c>
      <c r="G10" s="42">
        <v>800</v>
      </c>
      <c r="H10" s="102">
        <v>140</v>
      </c>
      <c r="I10" s="43">
        <v>800</v>
      </c>
      <c r="J10" s="44">
        <v>466.09</v>
      </c>
      <c r="K10" s="43">
        <v>816</v>
      </c>
      <c r="L10" s="44">
        <v>700</v>
      </c>
      <c r="M10" s="43">
        <v>784</v>
      </c>
      <c r="N10" s="43"/>
      <c r="O10" s="44">
        <f>'[1]Stm Revenue &amp; Expense'!$G$10</f>
        <v>816</v>
      </c>
      <c r="P10" s="45">
        <v>784</v>
      </c>
      <c r="Q10" s="2">
        <v>760</v>
      </c>
      <c r="R10" s="2">
        <v>505</v>
      </c>
      <c r="S10" s="1"/>
      <c r="T10" s="1"/>
      <c r="U10" s="1"/>
      <c r="V10" s="1"/>
      <c r="W10" s="1"/>
      <c r="X10" s="1"/>
    </row>
    <row r="11" spans="1:32" x14ac:dyDescent="0.25">
      <c r="A11" s="9"/>
      <c r="B11" s="9" t="s">
        <v>84</v>
      </c>
      <c r="C11" s="9"/>
      <c r="D11" s="9"/>
      <c r="E11" s="9"/>
      <c r="F11" s="42"/>
      <c r="G11" s="42"/>
      <c r="H11" s="102">
        <v>340</v>
      </c>
      <c r="I11" s="43"/>
      <c r="J11" s="44"/>
      <c r="K11" s="43">
        <v>0</v>
      </c>
      <c r="L11" s="44"/>
      <c r="M11" s="43">
        <v>0</v>
      </c>
      <c r="N11" s="43"/>
      <c r="O11" s="44">
        <f>'[1]Stm Revenue &amp; Expense'!$G$11</f>
        <v>0</v>
      </c>
      <c r="P11" s="45">
        <v>0</v>
      </c>
      <c r="Q11" s="2">
        <v>120.08878856236529</v>
      </c>
      <c r="R11" s="2"/>
      <c r="S11" s="1">
        <v>10.24</v>
      </c>
      <c r="T11" s="1">
        <v>5</v>
      </c>
      <c r="U11" s="1"/>
      <c r="V11" s="1"/>
      <c r="W11" s="1"/>
      <c r="X11" s="1"/>
    </row>
    <row r="12" spans="1:32" x14ac:dyDescent="0.25">
      <c r="A12" s="9"/>
      <c r="B12" s="9" t="s">
        <v>21</v>
      </c>
      <c r="C12" s="9"/>
      <c r="D12" s="9"/>
      <c r="E12" s="9"/>
      <c r="F12" s="42"/>
      <c r="G12" s="42"/>
      <c r="H12" s="102"/>
      <c r="I12" s="43"/>
      <c r="J12" s="44">
        <f>2860.5+100</f>
        <v>2960.5</v>
      </c>
      <c r="K12" s="43"/>
      <c r="L12" s="44">
        <v>46557.15</v>
      </c>
      <c r="M12" s="43"/>
      <c r="N12" s="43"/>
      <c r="O12" s="44"/>
      <c r="P12" s="45"/>
      <c r="Q12" s="2"/>
      <c r="R12" s="2"/>
      <c r="S12" s="1"/>
      <c r="T12" s="1"/>
      <c r="U12" s="1"/>
      <c r="V12" s="1"/>
      <c r="W12" s="1"/>
      <c r="X12" s="1"/>
    </row>
    <row r="13" spans="1:32" x14ac:dyDescent="0.25">
      <c r="A13" s="9"/>
      <c r="B13" s="9" t="s">
        <v>22</v>
      </c>
      <c r="C13" s="9"/>
      <c r="D13" s="9"/>
      <c r="E13" s="9"/>
      <c r="F13" s="42"/>
      <c r="G13" s="42"/>
      <c r="H13" s="102"/>
      <c r="I13" s="43"/>
      <c r="J13" s="44"/>
      <c r="K13" s="43">
        <v>0</v>
      </c>
      <c r="L13" s="44">
        <v>4080</v>
      </c>
      <c r="M13" s="43">
        <v>0</v>
      </c>
      <c r="N13" s="43"/>
      <c r="O13" s="44">
        <f>'[1]Stm Revenue &amp; Expense'!$G$12</f>
        <v>9900</v>
      </c>
      <c r="P13" s="45">
        <v>1960</v>
      </c>
      <c r="Q13" s="2"/>
      <c r="R13" s="2">
        <v>3855.3</v>
      </c>
      <c r="S13" s="1">
        <v>0</v>
      </c>
      <c r="T13" s="1">
        <v>10000</v>
      </c>
      <c r="U13" s="1"/>
      <c r="V13" s="1"/>
      <c r="W13" s="1"/>
      <c r="X13" s="1"/>
    </row>
    <row r="14" spans="1:32" x14ac:dyDescent="0.25">
      <c r="A14" s="9"/>
      <c r="B14" s="9" t="s">
        <v>23</v>
      </c>
      <c r="C14" s="9"/>
      <c r="D14" s="9"/>
      <c r="E14" s="9"/>
      <c r="F14" s="42"/>
      <c r="G14" s="42">
        <v>300</v>
      </c>
      <c r="H14" s="102"/>
      <c r="I14" s="43">
        <v>300</v>
      </c>
      <c r="J14" s="44"/>
      <c r="K14" s="43">
        <v>250</v>
      </c>
      <c r="L14" s="44">
        <v>579.62</v>
      </c>
      <c r="M14" s="43">
        <v>100</v>
      </c>
      <c r="N14" s="43"/>
      <c r="O14" s="44">
        <f>'[1]Stm Revenue &amp; Expense'!$G$13</f>
        <v>0</v>
      </c>
      <c r="P14" s="45">
        <v>445.15</v>
      </c>
      <c r="Q14" s="2">
        <v>0</v>
      </c>
      <c r="R14" s="2">
        <v>1200</v>
      </c>
      <c r="S14" s="1">
        <v>108</v>
      </c>
      <c r="T14" s="1">
        <v>136.91</v>
      </c>
      <c r="U14" s="1"/>
      <c r="V14" s="1"/>
      <c r="W14" s="1"/>
      <c r="X14" s="1"/>
    </row>
    <row r="15" spans="1:32" x14ac:dyDescent="0.25">
      <c r="A15" s="9"/>
      <c r="B15" s="9" t="s">
        <v>24</v>
      </c>
      <c r="C15" s="9"/>
      <c r="D15" s="9"/>
      <c r="E15" s="9"/>
      <c r="F15" s="42"/>
      <c r="G15" s="42"/>
      <c r="H15" s="102"/>
      <c r="I15" s="43">
        <v>200</v>
      </c>
      <c r="J15" s="44"/>
      <c r="K15" s="43">
        <v>1550</v>
      </c>
      <c r="L15" s="44"/>
      <c r="M15" s="43">
        <f>(29*50)+100</f>
        <v>1550</v>
      </c>
      <c r="N15" s="43"/>
      <c r="O15" s="44">
        <f>'[1]Stm Revenue &amp; Expense'!$G$14</f>
        <v>175</v>
      </c>
      <c r="P15" s="45">
        <v>0</v>
      </c>
      <c r="Q15" s="2"/>
      <c r="R15" s="2"/>
      <c r="S15" s="1"/>
      <c r="T15" s="1"/>
      <c r="U15" s="1"/>
      <c r="V15" s="1"/>
      <c r="W15" s="1"/>
      <c r="X15" s="1"/>
    </row>
    <row r="16" spans="1:32" x14ac:dyDescent="0.25">
      <c r="A16" s="9"/>
      <c r="B16" s="9" t="s">
        <v>25</v>
      </c>
      <c r="C16" s="9"/>
      <c r="D16" s="9"/>
      <c r="E16" s="9"/>
      <c r="F16" s="42"/>
      <c r="G16" s="42"/>
      <c r="H16" s="102"/>
      <c r="I16" s="43">
        <v>10</v>
      </c>
      <c r="J16" s="44">
        <v>122.65</v>
      </c>
      <c r="K16" s="43">
        <v>0</v>
      </c>
      <c r="L16" s="44"/>
      <c r="M16" s="43">
        <v>50</v>
      </c>
      <c r="N16" s="43"/>
      <c r="O16" s="44">
        <f>'[1]Stm Revenue &amp; Expense'!$G$15</f>
        <v>193.34</v>
      </c>
      <c r="P16" s="45">
        <v>155.35</v>
      </c>
      <c r="Q16" s="2">
        <v>125.42967966952855</v>
      </c>
      <c r="R16" s="2">
        <v>391.16</v>
      </c>
      <c r="S16" s="1">
        <v>252.7515317681061</v>
      </c>
      <c r="T16" s="1"/>
      <c r="U16" s="1"/>
      <c r="V16" s="1"/>
      <c r="W16" s="1"/>
      <c r="X16" s="1"/>
    </row>
    <row r="17" spans="1:32" x14ac:dyDescent="0.25">
      <c r="A17" s="9"/>
      <c r="B17" s="9" t="s">
        <v>26</v>
      </c>
      <c r="C17" s="9"/>
      <c r="D17" s="9"/>
      <c r="E17" s="9"/>
      <c r="F17" s="42"/>
      <c r="G17" s="42">
        <v>500</v>
      </c>
      <c r="H17" s="102"/>
      <c r="I17" s="43"/>
      <c r="J17" s="44">
        <v>900</v>
      </c>
      <c r="K17" s="43">
        <v>750</v>
      </c>
      <c r="L17" s="44">
        <v>123.2</v>
      </c>
      <c r="M17" s="43">
        <v>0</v>
      </c>
      <c r="N17" s="43"/>
      <c r="O17" s="44">
        <f>'[1]Stm Revenue &amp; Expense'!$G$16</f>
        <v>1779.74</v>
      </c>
      <c r="P17" s="45">
        <v>0</v>
      </c>
      <c r="Q17" s="2">
        <v>0</v>
      </c>
      <c r="R17" s="2"/>
      <c r="S17" s="1">
        <v>385</v>
      </c>
      <c r="T17" s="1">
        <v>504.97</v>
      </c>
      <c r="U17" s="1"/>
      <c r="V17" s="1"/>
      <c r="W17" s="1"/>
      <c r="X17" s="1"/>
    </row>
    <row r="18" spans="1:32" x14ac:dyDescent="0.25">
      <c r="A18" s="9"/>
      <c r="B18" s="9" t="s">
        <v>27</v>
      </c>
      <c r="C18" s="9"/>
      <c r="D18" s="9"/>
      <c r="E18" s="9"/>
      <c r="F18" s="42">
        <v>2000</v>
      </c>
      <c r="G18" s="42">
        <v>2000</v>
      </c>
      <c r="H18" s="102">
        <f>3518.99+1299.09</f>
        <v>4818.08</v>
      </c>
      <c r="I18" s="43">
        <v>2000</v>
      </c>
      <c r="J18" s="44">
        <v>1762</v>
      </c>
      <c r="K18" s="43">
        <v>0</v>
      </c>
      <c r="L18" s="44">
        <f>4046.5-3476.5</f>
        <v>570</v>
      </c>
      <c r="M18" s="43">
        <v>0</v>
      </c>
      <c r="N18" s="43"/>
      <c r="O18" s="44">
        <f>'[1]Stm Revenue &amp; Expense'!$G$17</f>
        <v>3476.5</v>
      </c>
      <c r="P18" s="45">
        <v>0</v>
      </c>
      <c r="Q18" s="2">
        <v>1289.76</v>
      </c>
      <c r="R18" s="2">
        <v>762.63</v>
      </c>
      <c r="S18" s="1">
        <v>2618.4</v>
      </c>
      <c r="T18" s="1"/>
      <c r="U18" s="1"/>
      <c r="V18" s="1"/>
      <c r="W18" s="1"/>
      <c r="X18" s="1"/>
    </row>
    <row r="19" spans="1:32" x14ac:dyDescent="0.25">
      <c r="A19" s="9"/>
      <c r="B19" s="9" t="s">
        <v>85</v>
      </c>
      <c r="C19" s="9"/>
      <c r="D19" s="9"/>
      <c r="E19" s="9"/>
      <c r="F19" s="42"/>
      <c r="G19" s="42"/>
      <c r="H19" s="102">
        <v>9188.4599999999991</v>
      </c>
      <c r="I19" s="43"/>
      <c r="J19" s="44"/>
      <c r="K19" s="43"/>
      <c r="L19" s="44"/>
      <c r="M19" s="43"/>
      <c r="N19" s="43"/>
      <c r="O19" s="44"/>
      <c r="P19" s="45"/>
      <c r="Q19" s="2"/>
      <c r="R19" s="2"/>
      <c r="S19" s="1"/>
      <c r="T19" s="1"/>
      <c r="U19" s="1"/>
      <c r="V19" s="1"/>
      <c r="W19" s="1"/>
      <c r="X19" s="1"/>
    </row>
    <row r="20" spans="1:32" x14ac:dyDescent="0.25">
      <c r="A20" s="9"/>
      <c r="B20" s="9" t="s">
        <v>86</v>
      </c>
      <c r="C20" s="9"/>
      <c r="D20" s="9"/>
      <c r="E20" s="9"/>
      <c r="F20" s="42"/>
      <c r="G20" s="42"/>
      <c r="H20" s="102">
        <v>4600</v>
      </c>
      <c r="I20" s="43"/>
      <c r="J20" s="44"/>
      <c r="K20" s="43"/>
      <c r="L20" s="44"/>
      <c r="M20" s="43"/>
      <c r="N20" s="43"/>
      <c r="O20" s="44"/>
      <c r="P20" s="45"/>
      <c r="Q20" s="2"/>
      <c r="R20" s="2"/>
      <c r="S20" s="1"/>
      <c r="T20" s="1"/>
      <c r="U20" s="1"/>
      <c r="V20" s="1"/>
      <c r="W20" s="1"/>
      <c r="X20" s="1"/>
    </row>
    <row r="21" spans="1:32" x14ac:dyDescent="0.25">
      <c r="A21" s="9"/>
      <c r="B21" s="9" t="s">
        <v>87</v>
      </c>
      <c r="C21" s="9"/>
      <c r="D21" s="9"/>
      <c r="E21" s="9"/>
      <c r="F21" s="42"/>
      <c r="G21" s="42"/>
      <c r="H21" s="102">
        <v>804</v>
      </c>
      <c r="I21" s="43"/>
      <c r="J21" s="44"/>
      <c r="K21" s="43"/>
      <c r="L21" s="44"/>
      <c r="M21" s="43"/>
      <c r="N21" s="43"/>
      <c r="O21" s="44"/>
      <c r="P21" s="45"/>
      <c r="Q21" s="2"/>
      <c r="R21" s="2"/>
      <c r="S21" s="1"/>
      <c r="T21" s="1"/>
      <c r="U21" s="1"/>
      <c r="V21" s="1"/>
      <c r="W21" s="1"/>
      <c r="X21" s="1"/>
    </row>
    <row r="22" spans="1:32" x14ac:dyDescent="0.25">
      <c r="A22" s="9"/>
      <c r="B22" s="9" t="s">
        <v>88</v>
      </c>
      <c r="C22" s="9"/>
      <c r="D22" s="9"/>
      <c r="E22" s="9"/>
      <c r="F22" s="42"/>
      <c r="G22" s="42"/>
      <c r="H22" s="102">
        <v>1340</v>
      </c>
      <c r="I22" s="43"/>
      <c r="J22" s="44"/>
      <c r="K22" s="43"/>
      <c r="L22" s="44"/>
      <c r="M22" s="43"/>
      <c r="N22" s="43"/>
      <c r="O22" s="44"/>
      <c r="P22" s="45"/>
      <c r="Q22" s="2"/>
      <c r="R22" s="2"/>
      <c r="S22" s="1"/>
      <c r="T22" s="1"/>
      <c r="U22" s="1"/>
      <c r="V22" s="1"/>
      <c r="W22" s="1"/>
      <c r="X22" s="1"/>
    </row>
    <row r="23" spans="1:32" ht="15.75" thickBot="1" x14ac:dyDescent="0.3">
      <c r="A23" s="9"/>
      <c r="B23" s="9" t="s">
        <v>28</v>
      </c>
      <c r="C23" s="9"/>
      <c r="E23" s="9"/>
      <c r="F23" s="42"/>
      <c r="G23" s="42"/>
      <c r="H23" s="102"/>
      <c r="I23" s="43"/>
      <c r="J23" s="44">
        <v>1995</v>
      </c>
      <c r="K23" s="43"/>
      <c r="L23" s="44"/>
      <c r="M23" s="43"/>
      <c r="N23" s="43"/>
      <c r="O23" s="44">
        <f>'[1]Stm Revenue &amp; Expense'!$G$18</f>
        <v>1239</v>
      </c>
      <c r="P23" s="46"/>
      <c r="Q23" s="2"/>
      <c r="R23" s="2"/>
      <c r="S23" s="1"/>
      <c r="T23" s="1"/>
      <c r="U23" s="1"/>
      <c r="V23" s="1"/>
      <c r="W23" s="1"/>
      <c r="X23" s="1"/>
    </row>
    <row r="24" spans="1:32" ht="20.25" thickBot="1" x14ac:dyDescent="0.4">
      <c r="A24" s="36" t="s">
        <v>29</v>
      </c>
      <c r="B24" s="47"/>
      <c r="C24" s="47"/>
      <c r="D24" s="47"/>
      <c r="E24" s="47"/>
      <c r="F24" s="48">
        <f t="shared" ref="F24:G24" si="0">SUM(F8:F23)</f>
        <v>36498</v>
      </c>
      <c r="G24" s="48">
        <f t="shared" si="0"/>
        <v>37950</v>
      </c>
      <c r="H24" s="103">
        <f t="shared" ref="H24:M24" si="1">SUM(H8:H23)</f>
        <v>55267.54</v>
      </c>
      <c r="I24" s="48">
        <f t="shared" si="1"/>
        <v>37660</v>
      </c>
      <c r="J24" s="49">
        <f t="shared" si="1"/>
        <v>42379.74</v>
      </c>
      <c r="K24" s="48">
        <f t="shared" si="1"/>
        <v>37616</v>
      </c>
      <c r="L24" s="49">
        <f t="shared" si="1"/>
        <v>86607.969999999987</v>
      </c>
      <c r="M24" s="48">
        <f t="shared" si="1"/>
        <v>36734</v>
      </c>
      <c r="N24" s="48"/>
      <c r="O24" s="49">
        <f>SUM(O8:O23)</f>
        <v>51232.329999999994</v>
      </c>
      <c r="P24" s="49">
        <v>37111.25</v>
      </c>
      <c r="Q24" s="50">
        <f>SUM(Q8:Q18)</f>
        <v>36861.278468231896</v>
      </c>
      <c r="R24" s="51">
        <v>33054.199999999997</v>
      </c>
      <c r="S24" s="52">
        <f>SUM(S8:S18)</f>
        <v>29791.391531768109</v>
      </c>
      <c r="T24" s="52">
        <f>SUM(T8:T18)</f>
        <v>37171.310000000005</v>
      </c>
      <c r="U24" s="53"/>
      <c r="V24" s="53"/>
      <c r="W24" s="53"/>
      <c r="X24" s="53"/>
      <c r="Y24" s="54"/>
      <c r="Z24" s="54"/>
      <c r="AA24" s="54"/>
      <c r="AB24" s="54"/>
      <c r="AC24" s="54"/>
      <c r="AD24" s="54"/>
      <c r="AE24" s="54"/>
      <c r="AF24" s="54"/>
    </row>
    <row r="25" spans="1:32" ht="15.75" thickTop="1" x14ac:dyDescent="0.25">
      <c r="A25" s="9"/>
      <c r="B25" s="36"/>
      <c r="C25" s="9"/>
      <c r="D25" s="9"/>
      <c r="E25" s="9"/>
      <c r="F25" s="42"/>
      <c r="G25" s="42"/>
      <c r="H25" s="102"/>
      <c r="I25" s="43"/>
      <c r="J25" s="44"/>
      <c r="K25" s="43"/>
      <c r="L25" s="44"/>
      <c r="M25" s="43"/>
      <c r="N25" s="43"/>
      <c r="O25" s="44"/>
      <c r="P25" s="55"/>
      <c r="Q25" s="56"/>
      <c r="R25" s="57"/>
      <c r="S25" s="58"/>
      <c r="T25" s="58"/>
      <c r="U25" s="1"/>
      <c r="V25" s="1"/>
      <c r="W25" s="1"/>
      <c r="X25" s="1"/>
    </row>
    <row r="26" spans="1:32" x14ac:dyDescent="0.25">
      <c r="A26" s="36" t="s">
        <v>30</v>
      </c>
      <c r="B26" s="9"/>
      <c r="C26" s="9"/>
      <c r="D26" s="9"/>
      <c r="E26" s="9"/>
      <c r="F26" s="42"/>
      <c r="G26" s="42"/>
      <c r="H26" s="102"/>
      <c r="I26" s="43"/>
      <c r="J26" s="44"/>
      <c r="K26" s="43"/>
      <c r="L26" s="44"/>
      <c r="M26" s="43"/>
      <c r="N26" s="43"/>
      <c r="O26" s="44"/>
      <c r="P26" s="45"/>
      <c r="Q26" s="2"/>
      <c r="R26" s="2"/>
      <c r="S26" s="1"/>
      <c r="T26" s="1"/>
      <c r="U26" s="1"/>
      <c r="V26" s="1"/>
      <c r="W26" s="1"/>
      <c r="X26" s="1"/>
    </row>
    <row r="27" spans="1:32" x14ac:dyDescent="0.25">
      <c r="A27" s="9"/>
      <c r="B27" s="36" t="s">
        <v>31</v>
      </c>
      <c r="C27" s="9"/>
      <c r="D27" s="9"/>
      <c r="E27" s="59"/>
      <c r="F27" s="42"/>
      <c r="G27" s="42"/>
      <c r="H27" s="102"/>
      <c r="I27" s="43"/>
      <c r="J27" s="44"/>
      <c r="K27" s="43"/>
      <c r="L27" s="44"/>
      <c r="M27" s="43"/>
      <c r="N27" s="43"/>
      <c r="O27" s="44"/>
      <c r="P27" s="45"/>
      <c r="Q27" s="2"/>
      <c r="R27" s="2"/>
      <c r="S27" s="1"/>
      <c r="T27" s="1"/>
      <c r="U27" s="1"/>
      <c r="V27" s="1"/>
      <c r="W27" s="1"/>
      <c r="X27" s="1"/>
    </row>
    <row r="28" spans="1:32" x14ac:dyDescent="0.25">
      <c r="A28" s="9"/>
      <c r="B28" s="9" t="s">
        <v>32</v>
      </c>
      <c r="C28" s="9"/>
      <c r="D28" s="9"/>
      <c r="E28" s="9"/>
      <c r="F28" s="42">
        <v>120</v>
      </c>
      <c r="G28" s="42">
        <v>300</v>
      </c>
      <c r="H28" s="102">
        <v>105.1</v>
      </c>
      <c r="I28" s="43">
        <v>200</v>
      </c>
      <c r="J28" s="44">
        <v>301.41000000000003</v>
      </c>
      <c r="K28" s="43">
        <v>189</v>
      </c>
      <c r="L28" s="44">
        <v>170.8</v>
      </c>
      <c r="M28" s="43">
        <v>200</v>
      </c>
      <c r="N28" s="43"/>
      <c r="O28" s="44">
        <f>'[1]Stm Revenue &amp; Expense'!$G23</f>
        <v>166.68</v>
      </c>
      <c r="P28" s="45">
        <v>160.46000000000004</v>
      </c>
      <c r="Q28" s="2">
        <v>113.96</v>
      </c>
      <c r="R28" s="2">
        <v>397.1</v>
      </c>
      <c r="S28" s="1">
        <v>121.89</v>
      </c>
      <c r="T28" s="1">
        <v>137.94</v>
      </c>
      <c r="U28" s="1"/>
      <c r="V28" s="1"/>
      <c r="W28" s="1"/>
      <c r="X28" s="1"/>
    </row>
    <row r="29" spans="1:32" x14ac:dyDescent="0.25">
      <c r="A29" s="9"/>
      <c r="B29" s="9" t="s">
        <v>33</v>
      </c>
      <c r="C29" s="9"/>
      <c r="D29" s="9"/>
      <c r="E29" s="9"/>
      <c r="F29" s="42"/>
      <c r="G29" s="42"/>
      <c r="H29" s="102"/>
      <c r="I29" s="43"/>
      <c r="J29" s="44"/>
      <c r="K29" s="43">
        <v>0</v>
      </c>
      <c r="L29" s="44"/>
      <c r="M29" s="43">
        <v>0</v>
      </c>
      <c r="N29" s="43"/>
      <c r="O29" s="44">
        <f>'[1]Stm Revenue &amp; Expense'!$G24</f>
        <v>0</v>
      </c>
      <c r="P29" s="45">
        <v>0</v>
      </c>
      <c r="Q29" s="2">
        <v>0</v>
      </c>
      <c r="R29" s="2">
        <v>0</v>
      </c>
      <c r="S29" s="1">
        <v>51.53</v>
      </c>
      <c r="T29" s="1">
        <v>39.9</v>
      </c>
      <c r="U29" s="1"/>
      <c r="V29" s="1"/>
      <c r="W29" s="1"/>
      <c r="X29" s="1"/>
    </row>
    <row r="30" spans="1:32" x14ac:dyDescent="0.25">
      <c r="A30" s="9"/>
      <c r="B30" s="9" t="s">
        <v>34</v>
      </c>
      <c r="C30" s="9"/>
      <c r="D30" s="9"/>
      <c r="E30" s="9"/>
      <c r="F30" s="42"/>
      <c r="G30" s="42">
        <v>150</v>
      </c>
      <c r="H30" s="102"/>
      <c r="I30" s="43">
        <v>150</v>
      </c>
      <c r="J30" s="44"/>
      <c r="K30" s="43">
        <v>150</v>
      </c>
      <c r="L30" s="44"/>
      <c r="M30" s="43">
        <v>150</v>
      </c>
      <c r="N30" s="43"/>
      <c r="O30" s="44">
        <f>'[1]Stm Revenue &amp; Expense'!$G24</f>
        <v>0</v>
      </c>
      <c r="P30" s="45">
        <v>123.00999999999999</v>
      </c>
      <c r="Q30" s="2">
        <v>97.13</v>
      </c>
      <c r="R30" s="2">
        <v>1477.71</v>
      </c>
      <c r="S30" s="1">
        <v>3371.0400000000004</v>
      </c>
      <c r="T30" s="1">
        <v>1759</v>
      </c>
      <c r="U30" s="1"/>
      <c r="V30" s="1"/>
      <c r="W30" s="1"/>
      <c r="X30" s="1"/>
    </row>
    <row r="31" spans="1:32" x14ac:dyDescent="0.25">
      <c r="A31" s="9"/>
      <c r="B31" s="9" t="s">
        <v>35</v>
      </c>
      <c r="C31" s="9"/>
      <c r="D31" s="9"/>
      <c r="E31" s="9"/>
      <c r="F31" s="42">
        <v>750</v>
      </c>
      <c r="G31" s="42">
        <v>750</v>
      </c>
      <c r="H31" s="102"/>
      <c r="I31" s="43">
        <v>750</v>
      </c>
      <c r="J31" s="44">
        <v>496.13</v>
      </c>
      <c r="K31" s="43">
        <v>750</v>
      </c>
      <c r="L31" s="44"/>
      <c r="M31" s="43">
        <v>750</v>
      </c>
      <c r="N31" s="43"/>
      <c r="O31" s="44">
        <f>'[1]Stm Revenue &amp; Expense'!$G25</f>
        <v>1159.3999999999999</v>
      </c>
      <c r="P31" s="45">
        <v>0</v>
      </c>
      <c r="Q31" s="2">
        <v>142.92999999999998</v>
      </c>
      <c r="R31" s="2">
        <v>273.99</v>
      </c>
      <c r="S31" s="1">
        <v>750</v>
      </c>
      <c r="T31" s="1">
        <v>0</v>
      </c>
      <c r="U31" s="1"/>
      <c r="V31" s="1"/>
      <c r="W31" s="1"/>
      <c r="X31" s="1"/>
    </row>
    <row r="32" spans="1:32" x14ac:dyDescent="0.25">
      <c r="A32" s="9"/>
      <c r="B32" s="9" t="s">
        <v>36</v>
      </c>
      <c r="C32" s="9"/>
      <c r="D32" s="9"/>
      <c r="E32" s="9"/>
      <c r="F32" s="42">
        <v>3300</v>
      </c>
      <c r="G32" s="42">
        <f>4000-140</f>
        <v>3860</v>
      </c>
      <c r="H32" s="102">
        <v>2943.19</v>
      </c>
      <c r="I32" s="43">
        <v>4000</v>
      </c>
      <c r="J32" s="44">
        <v>1187.3499999999999</v>
      </c>
      <c r="K32" s="43">
        <f>'[2]Chair Budgets 2014-15'!C56</f>
        <v>3115</v>
      </c>
      <c r="L32" s="44">
        <v>4030.79</v>
      </c>
      <c r="M32" s="43">
        <f>'[2]Chair Budgets 2013-14'!C56</f>
        <v>3694</v>
      </c>
      <c r="N32" s="43"/>
      <c r="O32" s="44">
        <f>'[1]Stm Revenue &amp; Expense'!$G26</f>
        <v>1837.1299999999999</v>
      </c>
      <c r="P32" s="45">
        <v>0</v>
      </c>
      <c r="Q32" s="2">
        <v>2790.12</v>
      </c>
      <c r="R32" s="2">
        <v>2553.02</v>
      </c>
      <c r="S32" s="1">
        <v>2285.34</v>
      </c>
      <c r="T32" s="1">
        <v>2913.19</v>
      </c>
      <c r="U32" s="1"/>
      <c r="V32" s="1"/>
      <c r="W32" s="1"/>
      <c r="X32" s="1"/>
    </row>
    <row r="33" spans="1:24" x14ac:dyDescent="0.25">
      <c r="A33" s="9"/>
      <c r="B33" s="9"/>
      <c r="C33" s="9"/>
      <c r="D33" s="60" t="s">
        <v>37</v>
      </c>
      <c r="E33" s="9"/>
      <c r="F33" s="42">
        <v>1800</v>
      </c>
      <c r="G33" s="42">
        <f>2000-200</f>
        <v>1800</v>
      </c>
      <c r="H33" s="102">
        <v>1038.3800000000001</v>
      </c>
      <c r="I33" s="43">
        <v>2800</v>
      </c>
      <c r="J33" s="44">
        <v>638.42999999999995</v>
      </c>
      <c r="K33" s="43">
        <f>'[2]Chair Budgets 2014-15'!D56</f>
        <v>2286</v>
      </c>
      <c r="L33" s="44">
        <v>1746.64</v>
      </c>
      <c r="M33" s="43">
        <f>'[2]Chair Budgets 2013-14'!D56</f>
        <v>3465</v>
      </c>
      <c r="N33" s="43"/>
      <c r="O33" s="44">
        <f>'[1]Stm Revenue &amp; Expense'!$G27</f>
        <v>1589.5399999999997</v>
      </c>
      <c r="P33" s="45">
        <v>3169.49</v>
      </c>
      <c r="Q33" s="2">
        <v>2283.87</v>
      </c>
      <c r="R33" s="2">
        <v>2795.84</v>
      </c>
      <c r="S33" s="1">
        <v>2013.72</v>
      </c>
      <c r="T33" s="1">
        <v>3072.44</v>
      </c>
      <c r="U33" s="1"/>
      <c r="V33" s="1"/>
      <c r="W33" s="1"/>
      <c r="X33" s="1"/>
    </row>
    <row r="34" spans="1:24" x14ac:dyDescent="0.25">
      <c r="A34" s="9"/>
      <c r="B34" s="9"/>
      <c r="C34" s="9"/>
      <c r="D34" s="9" t="s">
        <v>38</v>
      </c>
      <c r="E34" s="9"/>
      <c r="F34" s="42">
        <v>1800</v>
      </c>
      <c r="G34" s="42">
        <f>2000-200</f>
        <v>1800</v>
      </c>
      <c r="H34" s="102">
        <v>1452.28</v>
      </c>
      <c r="I34" s="43">
        <v>2800</v>
      </c>
      <c r="J34" s="44">
        <v>1022.8</v>
      </c>
      <c r="K34" s="43">
        <f>'[2]Chair Budgets 2014-15'!E56</f>
        <v>2736</v>
      </c>
      <c r="L34" s="44">
        <v>2733.42</v>
      </c>
      <c r="M34" s="43">
        <f>'[2]Chair Budgets 2013-14'!E56</f>
        <v>3315</v>
      </c>
      <c r="N34" s="43"/>
      <c r="O34" s="44">
        <f>'[1]Stm Revenue &amp; Expense'!$G28</f>
        <v>1986.45</v>
      </c>
      <c r="P34" s="45">
        <v>1374.38</v>
      </c>
      <c r="Q34" s="2">
        <v>2332.14</v>
      </c>
      <c r="R34" s="2">
        <v>1433.41</v>
      </c>
      <c r="S34" s="1">
        <v>1880.76</v>
      </c>
      <c r="T34" s="1">
        <v>722.6</v>
      </c>
      <c r="U34" s="1"/>
      <c r="V34" s="1"/>
      <c r="W34" s="1"/>
      <c r="X34" s="1"/>
    </row>
    <row r="35" spans="1:24" x14ac:dyDescent="0.25">
      <c r="A35" s="9"/>
      <c r="B35" s="9"/>
      <c r="C35" s="9"/>
      <c r="D35" s="9" t="s">
        <v>39</v>
      </c>
      <c r="E35" s="9"/>
      <c r="F35" s="42">
        <v>1400</v>
      </c>
      <c r="G35" s="42">
        <f>1300+545-400</f>
        <v>1445</v>
      </c>
      <c r="H35" s="102">
        <v>1173.08</v>
      </c>
      <c r="I35" s="43">
        <v>1300</v>
      </c>
      <c r="J35" s="44">
        <v>831.96</v>
      </c>
      <c r="K35" s="43">
        <f>'[2]Chair Budgets 2014-15'!F56</f>
        <v>2336</v>
      </c>
      <c r="L35" s="44">
        <v>908.84</v>
      </c>
      <c r="M35" s="43">
        <f>'[2]Chair Budgets 2013-14'!F56</f>
        <v>3315</v>
      </c>
      <c r="N35" s="43"/>
      <c r="O35" s="44">
        <f>'[1]Stm Revenue &amp; Expense'!$G29</f>
        <v>486.82</v>
      </c>
      <c r="P35" s="45">
        <v>707.91000000000008</v>
      </c>
      <c r="Q35" s="2">
        <v>2536.0100000000002</v>
      </c>
      <c r="R35" s="2">
        <v>1294.31</v>
      </c>
      <c r="S35" s="1">
        <v>1250.6399999999999</v>
      </c>
      <c r="T35" s="1">
        <v>2269.88</v>
      </c>
      <c r="U35" s="1"/>
      <c r="V35" s="1"/>
      <c r="W35" s="1"/>
      <c r="X35" s="1"/>
    </row>
    <row r="36" spans="1:24" x14ac:dyDescent="0.25">
      <c r="A36" s="9"/>
      <c r="B36" s="9"/>
      <c r="C36" s="9"/>
      <c r="D36" s="9" t="s">
        <v>40</v>
      </c>
      <c r="E36" s="9"/>
      <c r="F36" s="42">
        <v>1500</v>
      </c>
      <c r="G36" s="42">
        <v>2000</v>
      </c>
      <c r="H36" s="102">
        <v>1688.97</v>
      </c>
      <c r="I36" s="43">
        <v>2000</v>
      </c>
      <c r="J36" s="44">
        <v>2005.05</v>
      </c>
      <c r="K36" s="43">
        <f>'[2]Chair Budgets 2014-15'!H56</f>
        <v>2618</v>
      </c>
      <c r="L36" s="44">
        <v>1809.89</v>
      </c>
      <c r="M36" s="43">
        <f>'[2]Chair Budgets 2013-14'!H56</f>
        <v>1917</v>
      </c>
      <c r="N36" s="43"/>
      <c r="O36" s="44">
        <f>'[1]Stm Revenue &amp; Expense'!$G30</f>
        <v>2695.24</v>
      </c>
      <c r="P36" s="45">
        <v>2815.53</v>
      </c>
      <c r="Q36" s="2">
        <v>882.62</v>
      </c>
      <c r="R36" s="2">
        <v>1199.27</v>
      </c>
      <c r="S36" s="1">
        <v>1521.8799999999999</v>
      </c>
      <c r="T36" s="1">
        <v>959.02</v>
      </c>
      <c r="U36" s="1"/>
      <c r="V36" s="1"/>
      <c r="W36" s="1"/>
      <c r="X36" s="1"/>
    </row>
    <row r="37" spans="1:24" x14ac:dyDescent="0.25">
      <c r="A37" s="9"/>
      <c r="B37" s="9"/>
      <c r="C37" s="9"/>
      <c r="D37" s="9" t="s">
        <v>41</v>
      </c>
      <c r="E37" s="9"/>
      <c r="F37" s="42"/>
      <c r="G37" s="42"/>
      <c r="H37" s="102"/>
      <c r="I37" s="43"/>
      <c r="J37" s="44"/>
      <c r="K37" s="43">
        <v>0</v>
      </c>
      <c r="L37" s="44"/>
      <c r="M37" s="43">
        <v>0</v>
      </c>
      <c r="N37" s="43"/>
      <c r="O37" s="44" t="e">
        <f>'[1]Stm Revenue &amp; Expense'!$G31</f>
        <v>#REF!</v>
      </c>
      <c r="P37" s="45">
        <v>0</v>
      </c>
      <c r="Q37" s="2">
        <v>0</v>
      </c>
      <c r="R37" s="2">
        <v>0</v>
      </c>
      <c r="S37" s="1">
        <v>0</v>
      </c>
      <c r="T37" s="1">
        <v>0</v>
      </c>
      <c r="U37" s="1"/>
      <c r="V37" s="1"/>
      <c r="W37" s="1"/>
      <c r="X37" s="1"/>
    </row>
    <row r="38" spans="1:24" x14ac:dyDescent="0.25">
      <c r="A38" s="9"/>
      <c r="B38" s="9"/>
      <c r="C38" s="9"/>
      <c r="D38" s="9" t="s">
        <v>42</v>
      </c>
      <c r="E38" s="9"/>
      <c r="F38" s="42">
        <v>1200</v>
      </c>
      <c r="G38" s="42">
        <v>1200</v>
      </c>
      <c r="H38" s="102">
        <v>938.56</v>
      </c>
      <c r="I38" s="43">
        <f>1300-15</f>
        <v>1285</v>
      </c>
      <c r="J38" s="44">
        <v>1234.43</v>
      </c>
      <c r="K38" s="43">
        <f>'[2]Chair Budgets 2014-15'!I56+'[2]Chair Budgets 2014-15'!J56</f>
        <v>1021</v>
      </c>
      <c r="L38" s="44">
        <v>784.31</v>
      </c>
      <c r="M38" s="43">
        <f>'[2]Chair Budgets 2013-14'!I56</f>
        <v>1897</v>
      </c>
      <c r="N38" s="43"/>
      <c r="O38" s="44">
        <f>'[1]Stm Revenue &amp; Expense'!$G32</f>
        <v>1799.5499999999997</v>
      </c>
      <c r="P38" s="45">
        <v>2921.3399999999997</v>
      </c>
      <c r="Q38" s="2">
        <v>0</v>
      </c>
      <c r="R38" s="2">
        <v>0</v>
      </c>
      <c r="S38" s="1">
        <v>0</v>
      </c>
      <c r="T38" s="1">
        <v>0</v>
      </c>
      <c r="U38" s="1"/>
      <c r="V38" s="1"/>
      <c r="W38" s="1"/>
      <c r="X38" s="1"/>
    </row>
    <row r="39" spans="1:24" x14ac:dyDescent="0.25">
      <c r="A39" s="9"/>
      <c r="B39" s="9"/>
      <c r="C39" s="9"/>
      <c r="D39" s="9" t="s">
        <v>43</v>
      </c>
      <c r="E39" s="9"/>
      <c r="F39" s="42">
        <v>200</v>
      </c>
      <c r="G39" s="42">
        <v>250</v>
      </c>
      <c r="H39" s="102">
        <v>110.82</v>
      </c>
      <c r="I39" s="43">
        <v>500</v>
      </c>
      <c r="J39" s="44">
        <v>215.34</v>
      </c>
      <c r="K39" s="43">
        <f>'[2]Chair Budgets 2014-15'!G56</f>
        <v>575</v>
      </c>
      <c r="L39" s="44">
        <v>141.04</v>
      </c>
      <c r="M39" s="43">
        <f>'[2]Chair Budgets 2013-14'!G56</f>
        <v>605</v>
      </c>
      <c r="N39" s="43"/>
      <c r="O39" s="44">
        <f>'[1]Stm Revenue &amp; Expense'!$G33</f>
        <v>192.95</v>
      </c>
      <c r="P39" s="45">
        <v>0</v>
      </c>
      <c r="Q39" s="2">
        <v>0</v>
      </c>
      <c r="R39" s="2">
        <v>0</v>
      </c>
      <c r="S39" s="1">
        <v>0</v>
      </c>
      <c r="T39" s="1">
        <v>664</v>
      </c>
      <c r="U39" s="1"/>
      <c r="V39" s="1"/>
      <c r="W39" s="1"/>
      <c r="X39" s="1"/>
    </row>
    <row r="40" spans="1:24" x14ac:dyDescent="0.25">
      <c r="A40" s="9"/>
      <c r="B40" s="9"/>
      <c r="C40" s="9"/>
      <c r="D40" s="9" t="s">
        <v>44</v>
      </c>
      <c r="E40" s="9"/>
      <c r="F40" s="42">
        <v>200</v>
      </c>
      <c r="G40" s="42">
        <v>200</v>
      </c>
      <c r="H40" s="102"/>
      <c r="I40" s="43">
        <v>200</v>
      </c>
      <c r="J40" s="44">
        <v>99.1</v>
      </c>
      <c r="K40" s="43">
        <f>'[2]Chair Budgets 2014-15'!O56</f>
        <v>185</v>
      </c>
      <c r="L40" s="44">
        <v>162.72</v>
      </c>
      <c r="M40" s="43">
        <v>150</v>
      </c>
      <c r="N40" s="43"/>
      <c r="O40" s="44">
        <f>'[1]Stm Revenue &amp; Expense'!$G34</f>
        <v>967.99</v>
      </c>
      <c r="P40" s="45">
        <v>125.62</v>
      </c>
      <c r="Q40" s="2">
        <v>0</v>
      </c>
      <c r="R40" s="2">
        <v>0</v>
      </c>
      <c r="S40" s="1">
        <v>72.349999999999994</v>
      </c>
      <c r="T40" s="1">
        <v>638.02</v>
      </c>
      <c r="U40" s="1"/>
      <c r="V40" s="1"/>
      <c r="W40" s="1"/>
      <c r="X40" s="1"/>
    </row>
    <row r="41" spans="1:24" x14ac:dyDescent="0.25">
      <c r="A41" s="9"/>
      <c r="B41" s="9" t="s">
        <v>45</v>
      </c>
      <c r="C41" s="9"/>
      <c r="D41" s="9"/>
      <c r="E41" s="9"/>
      <c r="F41" s="42">
        <v>600</v>
      </c>
      <c r="G41" s="42">
        <v>1000</v>
      </c>
      <c r="H41" s="102">
        <v>474.7</v>
      </c>
      <c r="I41" s="43">
        <v>500</v>
      </c>
      <c r="J41" s="44">
        <v>1095.1500000000001</v>
      </c>
      <c r="K41" s="43">
        <v>500</v>
      </c>
      <c r="L41" s="44">
        <v>417.96</v>
      </c>
      <c r="M41" s="43">
        <v>500</v>
      </c>
      <c r="N41" s="43"/>
      <c r="O41" s="44">
        <f>'[1]Stm Revenue &amp; Expense'!$G35</f>
        <v>529.98</v>
      </c>
      <c r="P41" s="45">
        <v>496.82</v>
      </c>
      <c r="Q41" s="2">
        <v>387.74</v>
      </c>
      <c r="R41" s="2">
        <v>494.74</v>
      </c>
      <c r="S41" s="1">
        <v>408.07</v>
      </c>
      <c r="T41" s="1">
        <v>685.42</v>
      </c>
      <c r="U41" s="1"/>
      <c r="V41" s="1"/>
      <c r="W41" s="1"/>
      <c r="X41" s="1"/>
    </row>
    <row r="42" spans="1:24" x14ac:dyDescent="0.25">
      <c r="A42" s="9"/>
      <c r="B42" s="9" t="s">
        <v>46</v>
      </c>
      <c r="C42" s="9"/>
      <c r="D42" s="9"/>
      <c r="E42" s="9"/>
      <c r="F42" s="42">
        <v>400</v>
      </c>
      <c r="G42" s="42">
        <v>400</v>
      </c>
      <c r="H42" s="102">
        <v>226.4</v>
      </c>
      <c r="I42" s="43">
        <v>200</v>
      </c>
      <c r="J42" s="44">
        <v>366.48</v>
      </c>
      <c r="K42" s="43">
        <v>500</v>
      </c>
      <c r="L42" s="44">
        <v>173.43</v>
      </c>
      <c r="M42" s="43">
        <v>500</v>
      </c>
      <c r="N42" s="43"/>
      <c r="O42" s="44">
        <f>'[1]Stm Revenue &amp; Expense'!$G36</f>
        <v>89.350000000000009</v>
      </c>
      <c r="P42" s="45">
        <v>445.49</v>
      </c>
      <c r="Q42" s="2">
        <v>195.23</v>
      </c>
      <c r="R42" s="2">
        <v>109.36</v>
      </c>
      <c r="S42" s="1"/>
      <c r="T42" s="1">
        <v>1281.08</v>
      </c>
      <c r="U42" s="1"/>
      <c r="V42" s="1"/>
      <c r="W42" s="1"/>
      <c r="X42" s="1"/>
    </row>
    <row r="43" spans="1:24" x14ac:dyDescent="0.25">
      <c r="A43" s="9"/>
      <c r="B43" s="9" t="s">
        <v>47</v>
      </c>
      <c r="C43" s="9"/>
      <c r="D43" s="9"/>
      <c r="E43" s="9"/>
      <c r="F43" s="42">
        <v>1200</v>
      </c>
      <c r="G43" s="42">
        <v>350</v>
      </c>
      <c r="H43" s="102">
        <v>1248.68</v>
      </c>
      <c r="I43" s="43">
        <v>300</v>
      </c>
      <c r="J43" s="44">
        <v>333.43</v>
      </c>
      <c r="K43" s="43">
        <v>100</v>
      </c>
      <c r="L43" s="44">
        <v>329.23</v>
      </c>
      <c r="M43" s="43">
        <v>100</v>
      </c>
      <c r="N43" s="43"/>
      <c r="O43" s="44">
        <f>'[1]Stm Revenue &amp; Expense'!$G37</f>
        <v>331.12</v>
      </c>
      <c r="P43" s="45">
        <v>0</v>
      </c>
      <c r="Q43" s="2">
        <v>0</v>
      </c>
      <c r="R43" s="2">
        <v>102.33</v>
      </c>
      <c r="S43" s="1">
        <v>325.14</v>
      </c>
      <c r="T43" s="1"/>
      <c r="U43" s="1"/>
      <c r="V43" s="1"/>
      <c r="W43" s="1"/>
      <c r="X43" s="1"/>
    </row>
    <row r="44" spans="1:24" x14ac:dyDescent="0.25">
      <c r="A44" s="9"/>
      <c r="B44" s="9" t="s">
        <v>48</v>
      </c>
      <c r="C44" s="9"/>
      <c r="D44" s="9"/>
      <c r="E44" s="9"/>
      <c r="F44" s="42">
        <v>2500</v>
      </c>
      <c r="G44" s="42">
        <f>2800-100</f>
        <v>2700</v>
      </c>
      <c r="H44" s="102">
        <v>2213.34</v>
      </c>
      <c r="I44" s="43">
        <v>2800</v>
      </c>
      <c r="J44" s="44">
        <v>1488.43</v>
      </c>
      <c r="K44" s="43">
        <v>2800</v>
      </c>
      <c r="L44" s="44">
        <v>2310.0100000000002</v>
      </c>
      <c r="M44" s="43">
        <v>2800</v>
      </c>
      <c r="N44" s="43"/>
      <c r="O44" s="44">
        <f>'[1]Stm Revenue &amp; Expense'!$G38</f>
        <v>2816.56</v>
      </c>
      <c r="P44" s="45">
        <v>2754.67</v>
      </c>
      <c r="Q44" s="2">
        <v>2178.04</v>
      </c>
      <c r="R44" s="2">
        <v>1587.35</v>
      </c>
      <c r="S44" s="1">
        <v>4432.9400000000005</v>
      </c>
      <c r="T44" s="1">
        <v>2742.44</v>
      </c>
      <c r="U44" s="1"/>
      <c r="V44" s="1"/>
      <c r="W44" s="1"/>
      <c r="X44" s="1"/>
    </row>
    <row r="45" spans="1:24" x14ac:dyDescent="0.25">
      <c r="A45" s="9"/>
      <c r="B45" s="9" t="s">
        <v>49</v>
      </c>
      <c r="C45" s="9"/>
      <c r="D45" s="9"/>
      <c r="E45" s="9"/>
      <c r="F45" s="42"/>
      <c r="G45" s="42">
        <f>300-100</f>
        <v>200</v>
      </c>
      <c r="H45" s="102"/>
      <c r="I45" s="43">
        <v>300</v>
      </c>
      <c r="J45" s="44"/>
      <c r="K45" s="43">
        <v>100</v>
      </c>
      <c r="L45" s="44">
        <v>779.62</v>
      </c>
      <c r="M45" s="43">
        <v>100</v>
      </c>
      <c r="N45" s="43"/>
      <c r="O45" s="44">
        <f>'[1]Stm Revenue &amp; Expense'!$G39</f>
        <v>0</v>
      </c>
      <c r="P45" s="45">
        <v>445.15</v>
      </c>
      <c r="Q45" s="2">
        <v>0</v>
      </c>
      <c r="R45" s="2">
        <v>0</v>
      </c>
      <c r="S45" s="1">
        <v>108</v>
      </c>
      <c r="T45" s="1">
        <v>136.91</v>
      </c>
      <c r="U45" s="1"/>
      <c r="V45" s="1"/>
      <c r="W45" s="1"/>
      <c r="X45" s="1"/>
    </row>
    <row r="46" spans="1:24" x14ac:dyDescent="0.25">
      <c r="A46" s="9"/>
      <c r="B46" s="9" t="s">
        <v>50</v>
      </c>
      <c r="C46" s="9"/>
      <c r="D46" s="9"/>
      <c r="E46" s="9"/>
      <c r="F46" s="42">
        <v>350</v>
      </c>
      <c r="G46" s="42">
        <f>250</f>
        <v>250</v>
      </c>
      <c r="H46" s="102">
        <v>350.46</v>
      </c>
      <c r="I46" s="43">
        <v>250</v>
      </c>
      <c r="J46" s="44"/>
      <c r="K46" s="43">
        <v>210</v>
      </c>
      <c r="L46" s="44">
        <v>269.57</v>
      </c>
      <c r="M46" s="43">
        <v>210</v>
      </c>
      <c r="N46" s="43"/>
      <c r="O46" s="44">
        <f>'[1]Stm Revenue &amp; Expense'!$G40</f>
        <v>11.63</v>
      </c>
      <c r="P46" s="45">
        <v>201.79</v>
      </c>
      <c r="Q46" s="2">
        <v>34.51</v>
      </c>
      <c r="R46" s="2">
        <v>183.86</v>
      </c>
      <c r="S46" s="1">
        <v>19</v>
      </c>
      <c r="T46" s="1">
        <v>127.42</v>
      </c>
      <c r="U46" s="1"/>
      <c r="V46" s="1"/>
      <c r="W46" s="1"/>
      <c r="X46" s="1"/>
    </row>
    <row r="47" spans="1:24" x14ac:dyDescent="0.25">
      <c r="A47" s="9"/>
      <c r="B47" s="9" t="s">
        <v>51</v>
      </c>
      <c r="C47" s="9"/>
      <c r="D47" s="9"/>
      <c r="E47" s="9"/>
      <c r="F47" s="42"/>
      <c r="G47" s="42">
        <v>100</v>
      </c>
      <c r="H47" s="102"/>
      <c r="I47" s="43">
        <v>100</v>
      </c>
      <c r="J47" s="44">
        <v>102.56</v>
      </c>
      <c r="K47" s="43">
        <v>100</v>
      </c>
      <c r="L47" s="44">
        <v>20</v>
      </c>
      <c r="M47" s="43"/>
      <c r="N47" s="43"/>
      <c r="O47" s="44">
        <f>'[1]Stm Revenue &amp; Expense'!$G$41</f>
        <v>222.05</v>
      </c>
      <c r="P47" s="45">
        <v>67.8</v>
      </c>
      <c r="Q47" s="2"/>
      <c r="R47" s="2"/>
      <c r="S47" s="1"/>
      <c r="T47" s="1"/>
      <c r="U47" s="1"/>
      <c r="V47" s="1"/>
      <c r="W47" s="1"/>
      <c r="X47" s="1"/>
    </row>
    <row r="48" spans="1:24" x14ac:dyDescent="0.25">
      <c r="A48" s="9"/>
      <c r="B48" s="9" t="s">
        <v>52</v>
      </c>
      <c r="C48" s="9"/>
      <c r="D48" s="9"/>
      <c r="E48" s="9"/>
      <c r="F48" s="42"/>
      <c r="G48" s="42"/>
      <c r="H48" s="102">
        <v>163.74</v>
      </c>
      <c r="I48" s="43"/>
      <c r="J48" s="44">
        <v>178.14</v>
      </c>
      <c r="K48" s="43"/>
      <c r="L48" s="44"/>
      <c r="M48" s="43"/>
      <c r="N48" s="43"/>
      <c r="O48" s="44"/>
      <c r="P48" s="45"/>
      <c r="Q48" s="2"/>
      <c r="R48" s="2"/>
      <c r="S48" s="1"/>
      <c r="T48" s="1"/>
      <c r="U48" s="1"/>
      <c r="V48" s="1"/>
      <c r="W48" s="1"/>
      <c r="X48" s="1"/>
    </row>
    <row r="49" spans="1:32" x14ac:dyDescent="0.25">
      <c r="A49" s="9"/>
      <c r="B49" s="9" t="s">
        <v>53</v>
      </c>
      <c r="C49" s="9"/>
      <c r="D49" s="9"/>
      <c r="E49" s="9"/>
      <c r="F49" s="42">
        <v>400</v>
      </c>
      <c r="G49" s="42">
        <v>400</v>
      </c>
      <c r="H49" s="102">
        <v>339.29</v>
      </c>
      <c r="I49" s="43">
        <v>500</v>
      </c>
      <c r="J49" s="44"/>
      <c r="K49" s="43">
        <v>500</v>
      </c>
      <c r="L49" s="44">
        <v>419.3</v>
      </c>
      <c r="M49" s="43"/>
      <c r="N49" s="43"/>
      <c r="O49" s="44">
        <f>'[1]Stm Revenue &amp; Expense'!$G$42</f>
        <v>0</v>
      </c>
      <c r="P49" s="45">
        <v>450.5</v>
      </c>
      <c r="Q49" s="2"/>
      <c r="R49" s="2"/>
      <c r="S49" s="1"/>
      <c r="T49" s="1"/>
      <c r="U49" s="1"/>
      <c r="V49" s="1"/>
      <c r="W49" s="1"/>
      <c r="X49" s="1"/>
    </row>
    <row r="50" spans="1:32" x14ac:dyDescent="0.25">
      <c r="A50" s="9"/>
      <c r="B50" s="9" t="s">
        <v>54</v>
      </c>
      <c r="C50" s="9"/>
      <c r="D50" s="9"/>
      <c r="E50" s="9"/>
      <c r="F50" s="42">
        <v>850</v>
      </c>
      <c r="G50" s="42">
        <f>0.15*5700</f>
        <v>855</v>
      </c>
      <c r="H50" s="102">
        <v>861.9</v>
      </c>
      <c r="I50" s="43">
        <v>350</v>
      </c>
      <c r="J50" s="44">
        <v>345.72</v>
      </c>
      <c r="K50" s="43">
        <v>342</v>
      </c>
      <c r="L50" s="44">
        <v>339.66</v>
      </c>
      <c r="M50" s="43">
        <f>75+332.28</f>
        <v>407.28</v>
      </c>
      <c r="N50" s="43"/>
      <c r="O50" s="44">
        <f>'[1]Stm Revenue &amp; Expense'!$G$43</f>
        <v>332.28</v>
      </c>
      <c r="P50" s="46"/>
      <c r="Q50" s="2">
        <v>0</v>
      </c>
      <c r="R50" s="2">
        <v>218.07</v>
      </c>
      <c r="S50" s="1"/>
      <c r="T50" s="1">
        <v>150.49</v>
      </c>
      <c r="U50" s="1"/>
      <c r="V50" s="1"/>
      <c r="W50" s="1"/>
      <c r="X50" s="1"/>
    </row>
    <row r="51" spans="1:32" x14ac:dyDescent="0.25">
      <c r="A51" s="9"/>
      <c r="B51" s="9" t="s">
        <v>55</v>
      </c>
      <c r="C51" s="9"/>
      <c r="D51" s="9"/>
      <c r="E51" s="9"/>
      <c r="F51" s="42"/>
      <c r="G51" s="42"/>
      <c r="H51" s="102"/>
      <c r="I51" s="43"/>
      <c r="J51" s="44">
        <v>2176.12</v>
      </c>
      <c r="K51" s="43">
        <v>0</v>
      </c>
      <c r="L51" s="44"/>
      <c r="M51" s="43">
        <v>0</v>
      </c>
      <c r="N51" s="43"/>
      <c r="O51" s="44">
        <f>'[1]Stm Revenue &amp; Expense'!$G$44</f>
        <v>1238.9000000000001</v>
      </c>
      <c r="P51" s="46"/>
      <c r="Q51" s="2">
        <f>442.5+154.79</f>
        <v>597.29</v>
      </c>
      <c r="R51" s="2">
        <v>474.5</v>
      </c>
      <c r="S51" s="1"/>
      <c r="T51" s="1"/>
      <c r="U51" s="1"/>
      <c r="V51" s="1"/>
      <c r="W51" s="1"/>
      <c r="X51" s="1"/>
    </row>
    <row r="52" spans="1:32" ht="19.5" x14ac:dyDescent="0.35">
      <c r="A52" s="47"/>
      <c r="B52" s="36" t="s">
        <v>56</v>
      </c>
      <c r="C52" s="47"/>
      <c r="D52" s="47"/>
      <c r="E52" s="47"/>
      <c r="F52" s="48">
        <f t="shared" ref="F52:M52" si="2">SUM(F28:F51)</f>
        <v>18570</v>
      </c>
      <c r="G52" s="48">
        <f t="shared" si="2"/>
        <v>20010</v>
      </c>
      <c r="H52" s="103">
        <f t="shared" si="2"/>
        <v>15328.89</v>
      </c>
      <c r="I52" s="48">
        <f t="shared" si="2"/>
        <v>21285</v>
      </c>
      <c r="J52" s="49">
        <f t="shared" si="2"/>
        <v>14118.029999999999</v>
      </c>
      <c r="K52" s="48">
        <f t="shared" si="2"/>
        <v>21113</v>
      </c>
      <c r="L52" s="49">
        <f t="shared" si="2"/>
        <v>17547.23</v>
      </c>
      <c r="M52" s="48">
        <f t="shared" si="2"/>
        <v>24075.279999999999</v>
      </c>
      <c r="N52" s="48"/>
      <c r="O52" s="49" t="e">
        <f>SUM(O28:O51)</f>
        <v>#REF!</v>
      </c>
      <c r="P52" s="49">
        <v>16259.960000000001</v>
      </c>
      <c r="Q52" s="61">
        <f>SUM(Q28:Q51)</f>
        <v>14571.59</v>
      </c>
      <c r="R52" s="61">
        <v>14594.86</v>
      </c>
      <c r="S52" s="62">
        <f>SUM(S28:S50)</f>
        <v>18612.3</v>
      </c>
      <c r="T52" s="62">
        <f>SUM(T28:T50)</f>
        <v>18299.75</v>
      </c>
      <c r="U52" s="53"/>
      <c r="V52" s="53"/>
      <c r="W52" s="53"/>
      <c r="X52" s="53"/>
      <c r="Y52" s="54"/>
      <c r="Z52" s="54"/>
      <c r="AA52" s="54"/>
      <c r="AB52" s="54"/>
      <c r="AC52" s="54"/>
      <c r="AD52" s="54"/>
      <c r="AE52" s="54"/>
      <c r="AF52" s="54"/>
    </row>
    <row r="53" spans="1:32" x14ac:dyDescent="0.25">
      <c r="A53" s="9"/>
      <c r="B53" s="9"/>
      <c r="C53" s="9"/>
      <c r="D53" s="9"/>
      <c r="E53" s="9"/>
      <c r="F53" s="42"/>
      <c r="G53" s="42"/>
      <c r="H53" s="102"/>
      <c r="I53" s="43"/>
      <c r="J53" s="44"/>
      <c r="K53" s="43"/>
      <c r="L53" s="44"/>
      <c r="M53" s="43"/>
      <c r="N53" s="43"/>
      <c r="O53" s="44"/>
      <c r="P53" s="46"/>
      <c r="Q53" s="2"/>
      <c r="R53" s="2"/>
      <c r="S53" s="1"/>
      <c r="T53" s="1"/>
      <c r="U53" s="1"/>
      <c r="V53" s="1"/>
      <c r="W53" s="1"/>
      <c r="X53" s="1"/>
    </row>
    <row r="54" spans="1:32" x14ac:dyDescent="0.25">
      <c r="A54" s="9"/>
      <c r="B54" s="36" t="s">
        <v>57</v>
      </c>
      <c r="C54" s="9"/>
      <c r="D54" s="9"/>
      <c r="E54" s="9"/>
      <c r="F54" s="42"/>
      <c r="G54" s="42"/>
      <c r="H54" s="102"/>
      <c r="I54" s="43"/>
      <c r="J54" s="44"/>
      <c r="K54" s="43"/>
      <c r="L54" s="44"/>
      <c r="M54" s="43"/>
      <c r="N54" s="43"/>
      <c r="O54" s="44"/>
      <c r="P54" s="46"/>
      <c r="Q54" s="2"/>
      <c r="R54" s="2"/>
      <c r="S54" s="63"/>
      <c r="T54" s="1"/>
      <c r="U54" s="1"/>
      <c r="V54" s="1"/>
      <c r="W54" s="1"/>
      <c r="X54" s="1"/>
    </row>
    <row r="55" spans="1:32" x14ac:dyDescent="0.25">
      <c r="A55" s="9"/>
      <c r="B55" s="47" t="s">
        <v>58</v>
      </c>
      <c r="C55" s="9"/>
      <c r="D55" s="9"/>
      <c r="E55" s="9"/>
      <c r="F55" s="42">
        <v>3000</v>
      </c>
      <c r="G55" s="42">
        <v>3000</v>
      </c>
      <c r="H55" s="102">
        <f>2765.24+3346.43</f>
        <v>6111.67</v>
      </c>
      <c r="I55" s="43">
        <v>3000</v>
      </c>
      <c r="J55" s="44">
        <v>3000</v>
      </c>
      <c r="K55" s="43">
        <v>3000</v>
      </c>
      <c r="L55" s="44">
        <f>1750+1016.27</f>
        <v>2766.27</v>
      </c>
      <c r="M55" s="43">
        <v>3000</v>
      </c>
      <c r="N55" s="43"/>
      <c r="O55" s="44">
        <f>'[1]Stm Revenue &amp; Expense'!$G$48</f>
        <v>3539.37</v>
      </c>
      <c r="P55" s="46">
        <v>1500</v>
      </c>
      <c r="Q55" s="2">
        <v>3000</v>
      </c>
      <c r="R55" s="2">
        <v>3000</v>
      </c>
      <c r="S55" s="64">
        <v>2250</v>
      </c>
      <c r="T55" s="1">
        <v>7007.5</v>
      </c>
      <c r="U55" s="1"/>
      <c r="V55" s="1"/>
      <c r="W55" s="1"/>
      <c r="X55" s="1"/>
    </row>
    <row r="56" spans="1:32" x14ac:dyDescent="0.25">
      <c r="A56" s="9"/>
      <c r="B56" s="47" t="s">
        <v>94</v>
      </c>
      <c r="C56" s="9"/>
      <c r="D56" s="9"/>
      <c r="E56" s="9"/>
      <c r="F56" s="42">
        <v>1500</v>
      </c>
      <c r="G56" s="42">
        <v>1500</v>
      </c>
      <c r="H56" s="102"/>
      <c r="I56" s="43">
        <v>1500</v>
      </c>
      <c r="J56" s="44"/>
      <c r="K56" s="43">
        <v>1050</v>
      </c>
      <c r="L56" s="44">
        <f>4349.44-3000</f>
        <v>1349.4399999999996</v>
      </c>
      <c r="M56" s="43">
        <v>1050</v>
      </c>
      <c r="N56" s="43"/>
      <c r="O56" s="44">
        <f>'[1]Stm Revenue &amp; Expense'!$G$49</f>
        <v>994.14</v>
      </c>
      <c r="P56" s="46">
        <v>376.1</v>
      </c>
      <c r="Q56" s="2"/>
      <c r="R56" s="2">
        <v>1183.23</v>
      </c>
      <c r="S56" s="64">
        <v>406.54</v>
      </c>
      <c r="T56" s="1">
        <v>597.16999999999996</v>
      </c>
      <c r="U56" s="1"/>
      <c r="V56" s="1"/>
      <c r="W56" s="1"/>
      <c r="X56" s="1"/>
    </row>
    <row r="57" spans="1:32" ht="16.5" x14ac:dyDescent="0.35">
      <c r="A57" s="9"/>
      <c r="B57" s="36" t="s">
        <v>59</v>
      </c>
      <c r="C57" s="9"/>
      <c r="D57" s="9"/>
      <c r="E57" s="9"/>
      <c r="F57" s="48">
        <f t="shared" ref="F57:Q57" si="3">SUM(F55:F56)</f>
        <v>4500</v>
      </c>
      <c r="G57" s="48">
        <f t="shared" si="3"/>
        <v>4500</v>
      </c>
      <c r="H57" s="103">
        <f t="shared" si="3"/>
        <v>6111.67</v>
      </c>
      <c r="I57" s="48">
        <f t="shared" si="3"/>
        <v>4500</v>
      </c>
      <c r="J57" s="49">
        <f t="shared" si="3"/>
        <v>3000</v>
      </c>
      <c r="K57" s="48">
        <f t="shared" si="3"/>
        <v>4050</v>
      </c>
      <c r="L57" s="49">
        <f>SUM(L55:L56)</f>
        <v>4115.7099999999991</v>
      </c>
      <c r="M57" s="48">
        <f t="shared" si="3"/>
        <v>4050</v>
      </c>
      <c r="N57" s="65"/>
      <c r="O57" s="49">
        <f t="shared" si="3"/>
        <v>4533.51</v>
      </c>
      <c r="P57" s="49">
        <v>1876.1</v>
      </c>
      <c r="Q57" s="61">
        <f t="shared" si="3"/>
        <v>3000</v>
      </c>
      <c r="R57" s="61">
        <v>4183.2299999999996</v>
      </c>
      <c r="S57" s="62">
        <f>SUM(S55:S56)</f>
        <v>2656.54</v>
      </c>
      <c r="T57" s="62">
        <f>SUM(T55:T56)</f>
        <v>7604.67</v>
      </c>
      <c r="U57" s="1"/>
      <c r="V57" s="1"/>
      <c r="W57" s="1"/>
      <c r="X57" s="1"/>
    </row>
    <row r="58" spans="1:32" x14ac:dyDescent="0.25">
      <c r="A58" s="9"/>
      <c r="B58" s="47"/>
      <c r="C58" s="9"/>
      <c r="D58" s="9"/>
      <c r="E58" s="9"/>
      <c r="F58" s="42"/>
      <c r="G58" s="42"/>
      <c r="H58" s="102"/>
      <c r="I58" s="43"/>
      <c r="J58" s="44"/>
      <c r="K58" s="43"/>
      <c r="L58" s="44"/>
      <c r="M58" s="43"/>
      <c r="N58" s="43"/>
      <c r="O58" s="44"/>
      <c r="P58" s="46"/>
      <c r="Q58" s="2"/>
      <c r="R58" s="2"/>
      <c r="S58" s="1"/>
      <c r="T58" s="1"/>
      <c r="U58" s="1"/>
      <c r="V58" s="1"/>
      <c r="W58" s="1"/>
      <c r="X58" s="1"/>
    </row>
    <row r="59" spans="1:32" x14ac:dyDescent="0.25">
      <c r="A59" s="9"/>
      <c r="B59" s="37" t="s">
        <v>60</v>
      </c>
      <c r="C59" s="9"/>
      <c r="D59" s="9"/>
      <c r="E59" s="9"/>
      <c r="F59" s="42"/>
      <c r="G59" s="42"/>
      <c r="H59" s="102"/>
      <c r="I59" s="43"/>
      <c r="J59" s="44"/>
      <c r="K59" s="43"/>
      <c r="L59" s="44"/>
      <c r="M59" s="43"/>
      <c r="N59" s="43"/>
      <c r="O59" s="44"/>
      <c r="P59" s="46"/>
      <c r="Q59" s="2"/>
      <c r="R59" s="2"/>
      <c r="S59" s="1"/>
      <c r="T59" s="1"/>
      <c r="U59" s="1"/>
      <c r="V59" s="1"/>
      <c r="W59" s="1"/>
      <c r="X59" s="1"/>
    </row>
    <row r="60" spans="1:32" ht="16.5" x14ac:dyDescent="0.35">
      <c r="A60" s="9"/>
      <c r="B60" s="47" t="s">
        <v>61</v>
      </c>
      <c r="C60" s="9"/>
      <c r="D60" s="9"/>
      <c r="E60" s="9"/>
      <c r="F60" s="42"/>
      <c r="G60" s="42">
        <v>1140</v>
      </c>
      <c r="H60" s="102"/>
      <c r="I60" s="43"/>
      <c r="J60" s="44"/>
      <c r="K60" s="43"/>
      <c r="L60" s="66">
        <v>15000</v>
      </c>
      <c r="M60" s="43"/>
      <c r="N60" s="43"/>
      <c r="O60" s="44"/>
      <c r="P60" s="46"/>
      <c r="Q60" s="2"/>
      <c r="R60" s="2"/>
      <c r="S60" s="1"/>
      <c r="T60" s="1"/>
      <c r="U60" s="1"/>
      <c r="V60" s="1"/>
      <c r="W60" s="1"/>
      <c r="X60" s="1"/>
    </row>
    <row r="61" spans="1:32" x14ac:dyDescent="0.25">
      <c r="A61" s="9"/>
      <c r="B61" s="47"/>
      <c r="C61" s="9"/>
      <c r="D61" s="9"/>
      <c r="E61" s="9"/>
      <c r="F61" s="42"/>
      <c r="G61" s="42"/>
      <c r="H61" s="102"/>
      <c r="I61" s="43"/>
      <c r="J61" s="44"/>
      <c r="K61" s="43"/>
      <c r="L61" s="44"/>
      <c r="M61" s="43"/>
      <c r="N61" s="43"/>
      <c r="O61" s="44"/>
      <c r="P61" s="46"/>
      <c r="Q61" s="2"/>
      <c r="R61" s="2"/>
      <c r="S61" s="1"/>
      <c r="T61" s="1"/>
      <c r="U61" s="1"/>
      <c r="V61" s="1"/>
      <c r="W61" s="1"/>
      <c r="X61" s="1"/>
    </row>
    <row r="62" spans="1:32" x14ac:dyDescent="0.25">
      <c r="A62" s="9"/>
      <c r="B62" s="70" t="s">
        <v>62</v>
      </c>
      <c r="C62" s="9"/>
      <c r="D62" s="9"/>
      <c r="E62" s="9"/>
      <c r="F62" s="42"/>
      <c r="G62" s="42"/>
      <c r="H62" s="102"/>
      <c r="I62" s="43"/>
      <c r="J62" s="44"/>
      <c r="K62" s="43"/>
      <c r="L62" s="44"/>
      <c r="M62" s="43"/>
      <c r="N62" s="43"/>
      <c r="O62" s="44"/>
      <c r="P62" s="46"/>
      <c r="Q62" s="2"/>
      <c r="R62" s="2"/>
      <c r="S62" s="1"/>
      <c r="T62" s="1"/>
      <c r="U62" s="1"/>
      <c r="V62" s="1"/>
      <c r="W62" s="1"/>
      <c r="X62" s="1"/>
    </row>
    <row r="63" spans="1:32" x14ac:dyDescent="0.25">
      <c r="A63" s="9"/>
      <c r="B63" s="47" t="s">
        <v>63</v>
      </c>
      <c r="C63" s="9"/>
      <c r="D63" s="9"/>
      <c r="E63" s="9"/>
      <c r="F63" s="42">
        <v>2800</v>
      </c>
      <c r="G63" s="42">
        <v>2800</v>
      </c>
      <c r="H63" s="102">
        <v>2800</v>
      </c>
      <c r="I63" s="43">
        <v>3000</v>
      </c>
      <c r="J63" s="44">
        <v>700</v>
      </c>
      <c r="K63" s="43">
        <v>2800</v>
      </c>
      <c r="L63" s="44">
        <v>3800</v>
      </c>
      <c r="M63" s="43">
        <v>2800</v>
      </c>
      <c r="N63" s="43"/>
      <c r="O63" s="44">
        <f>'[1]Stm Revenue &amp; Expense'!$G$53</f>
        <v>2100</v>
      </c>
      <c r="P63" s="46">
        <v>1400</v>
      </c>
      <c r="Q63" s="2">
        <v>2800</v>
      </c>
      <c r="R63" s="2">
        <v>2800</v>
      </c>
      <c r="S63" s="1">
        <v>1400</v>
      </c>
      <c r="T63" s="1">
        <v>2800</v>
      </c>
      <c r="U63" s="1"/>
      <c r="V63" s="1"/>
      <c r="W63" s="1"/>
      <c r="X63" s="1"/>
    </row>
    <row r="64" spans="1:32" x14ac:dyDescent="0.25">
      <c r="A64" s="9"/>
      <c r="B64" s="47" t="s">
        <v>64</v>
      </c>
      <c r="C64" s="9"/>
      <c r="D64" s="9"/>
      <c r="E64" s="9"/>
      <c r="F64" s="42"/>
      <c r="G64" s="42"/>
      <c r="H64" s="102"/>
      <c r="I64" s="43"/>
      <c r="J64" s="44"/>
      <c r="K64" s="43"/>
      <c r="L64" s="44">
        <v>3960</v>
      </c>
      <c r="M64" s="43"/>
      <c r="N64" s="43"/>
      <c r="O64" s="44"/>
      <c r="P64" s="46"/>
      <c r="Q64" s="2"/>
      <c r="R64" s="2"/>
      <c r="S64" s="1"/>
      <c r="T64" s="1"/>
      <c r="U64" s="1"/>
      <c r="V64" s="1"/>
      <c r="W64" s="1"/>
      <c r="X64" s="1"/>
    </row>
    <row r="65" spans="1:24" x14ac:dyDescent="0.25">
      <c r="A65" s="9"/>
      <c r="B65" s="47" t="s">
        <v>65</v>
      </c>
      <c r="C65" s="9"/>
      <c r="D65" s="9"/>
      <c r="E65" s="9"/>
      <c r="F65" s="42">
        <v>300</v>
      </c>
      <c r="G65" s="42">
        <v>300</v>
      </c>
      <c r="H65" s="102"/>
      <c r="I65" s="43">
        <v>300</v>
      </c>
      <c r="J65" s="44">
        <v>274.27</v>
      </c>
      <c r="K65" s="43">
        <f>'[2]Chair Budgets 2014-15'!L28+'[2]Chair Budgets 2014-15'!L37+'[2]Chair Budgets 2014-15'!L38</f>
        <v>300</v>
      </c>
      <c r="L65" s="44"/>
      <c r="M65" s="43">
        <f>'[2]Chair Budgets 2013-14'!K28+'[2]Chair Budgets 2013-14'!K37+'[2]Chair Budgets 2013-14'!K38</f>
        <v>300</v>
      </c>
      <c r="N65" s="43"/>
      <c r="O65" s="44">
        <f>'[1]Stm Revenue &amp; Expense'!$G54</f>
        <v>0</v>
      </c>
      <c r="P65" s="46">
        <v>0</v>
      </c>
      <c r="Q65" s="2">
        <v>430.53</v>
      </c>
      <c r="R65" s="2">
        <v>0</v>
      </c>
      <c r="S65" s="1">
        <v>1063.6099999999999</v>
      </c>
      <c r="T65" s="1">
        <v>376.15</v>
      </c>
      <c r="U65" s="1"/>
      <c r="V65" s="1"/>
      <c r="W65" s="1"/>
      <c r="X65" s="1"/>
    </row>
    <row r="66" spans="1:24" x14ac:dyDescent="0.25">
      <c r="A66" s="9"/>
      <c r="B66" s="9" t="s">
        <v>66</v>
      </c>
      <c r="C66" s="9"/>
      <c r="D66" s="9"/>
      <c r="E66" s="9"/>
      <c r="F66" s="42">
        <v>6000</v>
      </c>
      <c r="G66" s="42">
        <v>5687</v>
      </c>
      <c r="H66" s="102">
        <v>6046.59</v>
      </c>
      <c r="I66" s="43">
        <v>5000</v>
      </c>
      <c r="J66" s="44">
        <v>5761.56</v>
      </c>
      <c r="K66" s="43">
        <f>'[2]Chair Budgets 2014-15'!L51</f>
        <v>5687</v>
      </c>
      <c r="L66" s="44">
        <v>3461.25</v>
      </c>
      <c r="M66" s="43">
        <f>'[2]Chair Budgets 2013-14'!K51+1000-41-672</f>
        <v>5974</v>
      </c>
      <c r="N66" s="43"/>
      <c r="O66" s="44">
        <f>'[1]Stm Revenue &amp; Expense'!$G55</f>
        <v>5496.7</v>
      </c>
      <c r="P66" s="46">
        <v>5467.78</v>
      </c>
      <c r="Q66" s="2">
        <v>5565.57</v>
      </c>
      <c r="R66" s="2">
        <v>3317.8699999999994</v>
      </c>
      <c r="S66" s="1">
        <v>3805.6</v>
      </c>
      <c r="T66" s="1">
        <v>2225.4899999999998</v>
      </c>
      <c r="U66" s="1"/>
      <c r="V66" s="1"/>
      <c r="W66" s="1"/>
      <c r="X66" s="1"/>
    </row>
    <row r="67" spans="1:24" x14ac:dyDescent="0.25">
      <c r="A67" s="9"/>
      <c r="B67" s="47" t="s">
        <v>67</v>
      </c>
      <c r="C67" s="9"/>
      <c r="D67" s="9"/>
      <c r="E67" s="9"/>
      <c r="F67" s="42">
        <v>1200</v>
      </c>
      <c r="G67" s="42">
        <v>1166</v>
      </c>
      <c r="H67" s="102">
        <v>1257.22</v>
      </c>
      <c r="I67" s="43">
        <v>1000</v>
      </c>
      <c r="J67" s="44"/>
      <c r="K67" s="43">
        <f>'[2]Chair Budgets 2014-15'!K29+'[2]Chair Budgets 2014-15'!L39-'[2]Chair Budgets 2014-15'!L37-'[2]Chair Budgets 2014-15'!L38</f>
        <v>1166</v>
      </c>
      <c r="L67" s="44">
        <v>659.77</v>
      </c>
      <c r="M67" s="43">
        <f>'[2]Chair Budgets 2013-14'!K56-'[2]Chair Budgets 2013-14'!K51-'[2]Chair Budgets 2013-14'!K53-'[2]Chair Budgets 2013-14'!K28-'[2]Chair Budgets 2013-14'!K37-'[2]Chair Budgets 2013-14'!K38</f>
        <v>1867</v>
      </c>
      <c r="N67" s="43"/>
      <c r="O67" s="44">
        <f>'[1]Stm Revenue &amp; Expense'!$G56</f>
        <v>1429.6</v>
      </c>
      <c r="P67" s="46">
        <v>478.41</v>
      </c>
      <c r="Q67" s="2">
        <v>1586.72</v>
      </c>
      <c r="R67" s="2">
        <v>1436.4</v>
      </c>
      <c r="S67" s="1"/>
      <c r="T67" s="1">
        <v>1866.51</v>
      </c>
      <c r="U67" s="1"/>
      <c r="V67" s="1"/>
      <c r="W67" s="1"/>
      <c r="X67" s="1"/>
    </row>
    <row r="68" spans="1:24" x14ac:dyDescent="0.25">
      <c r="A68" s="9"/>
      <c r="B68" s="9" t="s">
        <v>68</v>
      </c>
      <c r="C68" s="9"/>
      <c r="D68" s="9"/>
      <c r="E68" s="9"/>
      <c r="F68" s="42">
        <v>1000</v>
      </c>
      <c r="G68" s="42">
        <v>1000</v>
      </c>
      <c r="H68" s="102"/>
      <c r="I68" s="43">
        <v>1000</v>
      </c>
      <c r="J68" s="44">
        <v>1400</v>
      </c>
      <c r="K68" s="43">
        <v>1000</v>
      </c>
      <c r="L68" s="44"/>
      <c r="M68" s="43">
        <v>1000</v>
      </c>
      <c r="N68" s="43"/>
      <c r="O68" s="44">
        <f>'[1]Stm Revenue &amp; Expense'!$G57</f>
        <v>1289.0999999999999</v>
      </c>
      <c r="P68" s="46">
        <v>0</v>
      </c>
      <c r="Q68" s="2">
        <v>1000</v>
      </c>
      <c r="R68" s="2">
        <v>0</v>
      </c>
      <c r="S68" s="1">
        <v>1000</v>
      </c>
      <c r="T68" s="1"/>
      <c r="U68" s="1"/>
      <c r="V68" s="1"/>
      <c r="W68" s="1"/>
      <c r="X68" s="1"/>
    </row>
    <row r="69" spans="1:24" ht="16.5" x14ac:dyDescent="0.35">
      <c r="A69" s="9"/>
      <c r="B69" s="9" t="s">
        <v>69</v>
      </c>
      <c r="C69" s="9"/>
      <c r="D69" s="9"/>
      <c r="E69" s="9"/>
      <c r="F69" s="48">
        <f t="shared" ref="F69:Q69" si="4">SUM(F63:F68)</f>
        <v>11300</v>
      </c>
      <c r="G69" s="48">
        <f t="shared" si="4"/>
        <v>10953</v>
      </c>
      <c r="H69" s="103">
        <f t="shared" si="4"/>
        <v>10103.81</v>
      </c>
      <c r="I69" s="48">
        <f t="shared" si="4"/>
        <v>10300</v>
      </c>
      <c r="J69" s="49">
        <f t="shared" si="4"/>
        <v>8135.83</v>
      </c>
      <c r="K69" s="48">
        <f t="shared" si="4"/>
        <v>10953</v>
      </c>
      <c r="L69" s="49">
        <f>SUM(L63:L68)</f>
        <v>11881.02</v>
      </c>
      <c r="M69" s="48">
        <f t="shared" si="4"/>
        <v>11941</v>
      </c>
      <c r="N69" s="65"/>
      <c r="O69" s="49">
        <f t="shared" si="4"/>
        <v>10315.4</v>
      </c>
      <c r="P69" s="49">
        <v>7346.19</v>
      </c>
      <c r="Q69" s="61">
        <f t="shared" si="4"/>
        <v>11382.819999999998</v>
      </c>
      <c r="R69" s="61">
        <v>7554.2699999999986</v>
      </c>
      <c r="S69" s="62">
        <f>+S63+S65+S68+S66</f>
        <v>7269.2099999999991</v>
      </c>
      <c r="T69" s="62">
        <f>SUM(T63:T68)</f>
        <v>7268.15</v>
      </c>
      <c r="U69" s="1"/>
      <c r="V69" s="1"/>
      <c r="W69" s="1"/>
      <c r="X69" s="1"/>
    </row>
    <row r="70" spans="1:24" x14ac:dyDescent="0.25">
      <c r="A70" s="9"/>
      <c r="B70" s="9"/>
      <c r="C70" s="9"/>
      <c r="D70" s="9"/>
      <c r="E70" s="9"/>
      <c r="F70" s="42"/>
      <c r="G70" s="42"/>
      <c r="H70" s="102"/>
      <c r="I70" s="43"/>
      <c r="J70" s="44"/>
      <c r="K70" s="43"/>
      <c r="L70" s="44"/>
      <c r="M70" s="43"/>
      <c r="N70" s="43"/>
      <c r="O70" s="44"/>
      <c r="P70" s="46"/>
      <c r="Q70" s="2"/>
      <c r="R70" s="2"/>
      <c r="S70" s="1"/>
      <c r="T70" s="1"/>
      <c r="U70" s="1"/>
      <c r="V70" s="1"/>
      <c r="W70" s="1"/>
      <c r="X70" s="1"/>
    </row>
    <row r="71" spans="1:24" x14ac:dyDescent="0.25">
      <c r="A71" s="9"/>
      <c r="B71" s="70" t="s">
        <v>70</v>
      </c>
      <c r="C71" s="9"/>
      <c r="D71" s="9"/>
      <c r="E71" s="9"/>
      <c r="F71" s="42"/>
      <c r="G71" s="42"/>
      <c r="H71" s="102"/>
      <c r="I71" s="43"/>
      <c r="J71" s="44"/>
      <c r="K71" s="43"/>
      <c r="L71" s="44"/>
      <c r="M71" s="43"/>
      <c r="N71" s="43"/>
      <c r="O71" s="44"/>
      <c r="P71" s="46"/>
      <c r="Q71" s="2"/>
      <c r="R71" s="2"/>
      <c r="S71" s="1"/>
      <c r="T71" s="1"/>
      <c r="U71" s="1"/>
      <c r="V71" s="1"/>
      <c r="W71" s="1"/>
      <c r="X71" s="1"/>
    </row>
    <row r="72" spans="1:24" x14ac:dyDescent="0.25">
      <c r="A72" s="9"/>
      <c r="B72" s="47" t="s">
        <v>71</v>
      </c>
      <c r="C72" s="9"/>
      <c r="D72" s="9"/>
      <c r="E72" s="9"/>
      <c r="F72" s="42"/>
      <c r="G72" s="42"/>
      <c r="H72" s="102"/>
      <c r="I72" s="43"/>
      <c r="J72" s="44"/>
      <c r="K72" s="43"/>
      <c r="L72" s="44"/>
      <c r="M72" s="43"/>
      <c r="N72" s="43"/>
      <c r="O72" s="44" t="e">
        <f>'[1]Stm Revenue &amp; Expense'!$G61</f>
        <v>#REF!</v>
      </c>
      <c r="P72" s="46">
        <v>1960</v>
      </c>
      <c r="Q72" s="2">
        <v>1311.31</v>
      </c>
      <c r="R72" s="2">
        <v>5055.3</v>
      </c>
      <c r="S72" s="1"/>
      <c r="T72" s="1"/>
      <c r="U72" s="1"/>
      <c r="V72" s="1"/>
      <c r="W72" s="1"/>
      <c r="X72" s="1"/>
    </row>
    <row r="73" spans="1:24" x14ac:dyDescent="0.25">
      <c r="A73" s="9"/>
      <c r="B73" s="47" t="s">
        <v>21</v>
      </c>
      <c r="C73" s="9"/>
      <c r="D73" s="9"/>
      <c r="E73" s="9"/>
      <c r="F73" s="42"/>
      <c r="G73" s="42"/>
      <c r="H73" s="102"/>
      <c r="I73" s="43"/>
      <c r="J73" s="44">
        <f>100+2860.5</f>
        <v>2960.5</v>
      </c>
      <c r="K73" s="43"/>
      <c r="L73" s="44">
        <v>46557.15</v>
      </c>
      <c r="M73" s="43"/>
      <c r="N73" s="43"/>
      <c r="O73" s="44"/>
      <c r="P73" s="46"/>
      <c r="Q73" s="2"/>
      <c r="R73" s="2"/>
      <c r="S73" s="1"/>
      <c r="T73" s="1"/>
      <c r="U73" s="1"/>
      <c r="V73" s="1"/>
      <c r="W73" s="1"/>
      <c r="X73" s="1"/>
    </row>
    <row r="74" spans="1:24" x14ac:dyDescent="0.25">
      <c r="A74" s="9"/>
      <c r="B74" s="9" t="s">
        <v>72</v>
      </c>
      <c r="C74" s="9"/>
      <c r="D74" s="9"/>
      <c r="E74" s="9"/>
      <c r="F74" s="42">
        <v>500</v>
      </c>
      <c r="G74" s="42">
        <v>500</v>
      </c>
      <c r="H74" s="102">
        <v>455.99</v>
      </c>
      <c r="I74" s="43">
        <v>700</v>
      </c>
      <c r="J74" s="44">
        <v>410</v>
      </c>
      <c r="K74" s="43">
        <v>625</v>
      </c>
      <c r="L74" s="44">
        <v>419</v>
      </c>
      <c r="M74" s="43">
        <v>625</v>
      </c>
      <c r="N74" s="43"/>
      <c r="O74" s="44">
        <f>'[1]Stm Revenue &amp; Expense'!$G62</f>
        <v>450</v>
      </c>
      <c r="P74" s="46">
        <v>350</v>
      </c>
      <c r="Q74" s="2">
        <v>350</v>
      </c>
      <c r="R74" s="2">
        <v>350</v>
      </c>
      <c r="S74" s="1">
        <v>391.36</v>
      </c>
      <c r="T74" s="1">
        <v>626.19000000000005</v>
      </c>
      <c r="U74" s="1"/>
      <c r="V74" s="1"/>
      <c r="W74" s="1"/>
      <c r="X74" s="1"/>
    </row>
    <row r="75" spans="1:24" x14ac:dyDescent="0.25">
      <c r="A75" s="9"/>
      <c r="B75" s="47" t="s">
        <v>73</v>
      </c>
      <c r="C75" s="9"/>
      <c r="D75" s="9"/>
      <c r="E75" s="9"/>
      <c r="F75" s="42">
        <v>200</v>
      </c>
      <c r="G75" s="42">
        <v>200</v>
      </c>
      <c r="H75" s="102">
        <v>208.61</v>
      </c>
      <c r="I75" s="43">
        <v>250</v>
      </c>
      <c r="J75" s="44">
        <v>141.22</v>
      </c>
      <c r="K75" s="43">
        <v>250</v>
      </c>
      <c r="L75" s="44"/>
      <c r="M75" s="43">
        <v>250</v>
      </c>
      <c r="N75" s="43"/>
      <c r="O75" s="44">
        <f>'[1]Stm Revenue &amp; Expense'!$G63</f>
        <v>50.23</v>
      </c>
      <c r="P75" s="46">
        <v>0</v>
      </c>
      <c r="Q75" s="2">
        <v>249.82999999999998</v>
      </c>
      <c r="R75" s="2">
        <v>129.13</v>
      </c>
      <c r="S75" s="64">
        <v>222.14999999999998</v>
      </c>
      <c r="T75" s="1">
        <v>185.34</v>
      </c>
      <c r="U75" s="1"/>
      <c r="V75" s="1"/>
      <c r="W75" s="1"/>
      <c r="X75" s="1"/>
    </row>
    <row r="76" spans="1:24" x14ac:dyDescent="0.25">
      <c r="A76" s="9"/>
      <c r="B76" s="47" t="s">
        <v>74</v>
      </c>
      <c r="C76" s="9"/>
      <c r="D76" s="9"/>
      <c r="E76" s="9"/>
      <c r="F76" s="42">
        <v>600</v>
      </c>
      <c r="G76" s="42">
        <v>600</v>
      </c>
      <c r="H76" s="102">
        <v>600</v>
      </c>
      <c r="I76" s="43">
        <v>625</v>
      </c>
      <c r="J76" s="44">
        <v>600</v>
      </c>
      <c r="K76" s="43">
        <v>625</v>
      </c>
      <c r="L76" s="44">
        <v>600</v>
      </c>
      <c r="M76" s="43">
        <v>625</v>
      </c>
      <c r="N76" s="43"/>
      <c r="O76" s="44">
        <f>'[1]Stm Revenue &amp; Expense'!$G64</f>
        <v>600</v>
      </c>
      <c r="P76" s="46">
        <v>600</v>
      </c>
      <c r="Q76" s="2">
        <v>600</v>
      </c>
      <c r="R76" s="2">
        <v>600</v>
      </c>
      <c r="S76" s="1">
        <v>500</v>
      </c>
      <c r="T76" s="1">
        <v>650</v>
      </c>
      <c r="U76" s="1"/>
      <c r="V76" s="1"/>
      <c r="W76" s="1"/>
      <c r="X76" s="1"/>
    </row>
    <row r="77" spans="1:24" x14ac:dyDescent="0.25">
      <c r="A77" s="9"/>
      <c r="B77" s="47" t="s">
        <v>89</v>
      </c>
      <c r="C77" s="9"/>
      <c r="D77" s="9"/>
      <c r="E77" s="9"/>
      <c r="F77" s="42"/>
      <c r="G77" s="42"/>
      <c r="H77" s="102">
        <v>967.12</v>
      </c>
      <c r="I77" s="43"/>
      <c r="J77" s="44"/>
      <c r="K77" s="43"/>
      <c r="L77" s="44"/>
      <c r="M77" s="43"/>
      <c r="N77" s="43"/>
      <c r="O77" s="44"/>
      <c r="P77" s="46"/>
      <c r="Q77" s="2"/>
      <c r="R77" s="2"/>
      <c r="S77" s="1"/>
      <c r="T77" s="1"/>
      <c r="U77" s="1"/>
      <c r="V77" s="1"/>
      <c r="W77" s="1"/>
      <c r="X77" s="1"/>
    </row>
    <row r="78" spans="1:24" x14ac:dyDescent="0.25">
      <c r="A78" s="9"/>
      <c r="B78" s="47" t="s">
        <v>90</v>
      </c>
      <c r="C78" s="9"/>
      <c r="D78" s="9"/>
      <c r="E78" s="9"/>
      <c r="F78" s="42"/>
      <c r="G78" s="42"/>
      <c r="H78" s="102">
        <v>1112.28</v>
      </c>
      <c r="I78" s="43"/>
      <c r="J78" s="44"/>
      <c r="K78" s="43"/>
      <c r="L78" s="44"/>
      <c r="M78" s="43"/>
      <c r="N78" s="43"/>
      <c r="O78" s="44"/>
      <c r="P78" s="46"/>
      <c r="Q78" s="2"/>
      <c r="R78" s="2"/>
      <c r="S78" s="1"/>
      <c r="T78" s="1"/>
      <c r="U78" s="1"/>
      <c r="V78" s="1"/>
      <c r="W78" s="1"/>
      <c r="X78" s="1"/>
    </row>
    <row r="79" spans="1:24" x14ac:dyDescent="0.25">
      <c r="A79" s="9"/>
      <c r="B79" s="47" t="s">
        <v>91</v>
      </c>
      <c r="C79" s="9"/>
      <c r="D79" s="9"/>
      <c r="E79" s="9"/>
      <c r="F79" s="42"/>
      <c r="G79" s="42"/>
      <c r="H79" s="102">
        <v>1340</v>
      </c>
      <c r="I79" s="43"/>
      <c r="J79" s="44"/>
      <c r="K79" s="43"/>
      <c r="L79" s="44"/>
      <c r="M79" s="43"/>
      <c r="N79" s="43"/>
      <c r="O79" s="44"/>
      <c r="P79" s="46"/>
      <c r="Q79" s="2"/>
      <c r="R79" s="2"/>
      <c r="S79" s="1"/>
      <c r="T79" s="1"/>
      <c r="U79" s="1"/>
      <c r="V79" s="1"/>
      <c r="W79" s="1"/>
      <c r="X79" s="1"/>
    </row>
    <row r="80" spans="1:24" x14ac:dyDescent="0.25">
      <c r="A80" s="9"/>
      <c r="B80" s="47" t="s">
        <v>92</v>
      </c>
      <c r="C80" s="9"/>
      <c r="D80" s="9"/>
      <c r="E80" s="9"/>
      <c r="F80" s="42">
        <v>828</v>
      </c>
      <c r="G80" s="42"/>
      <c r="H80" s="102">
        <v>886.11</v>
      </c>
      <c r="I80" s="43"/>
      <c r="J80" s="44"/>
      <c r="K80" s="43"/>
      <c r="L80" s="44"/>
      <c r="M80" s="43"/>
      <c r="N80" s="43"/>
      <c r="O80" s="44"/>
      <c r="P80" s="46"/>
      <c r="Q80" s="2"/>
      <c r="R80" s="2"/>
      <c r="S80" s="1"/>
      <c r="T80" s="1"/>
      <c r="U80" s="1"/>
      <c r="V80" s="1"/>
      <c r="W80" s="1"/>
      <c r="X80" s="1"/>
    </row>
    <row r="81" spans="1:24" ht="16.5" x14ac:dyDescent="0.35">
      <c r="A81" s="9"/>
      <c r="B81" s="47" t="s">
        <v>75</v>
      </c>
      <c r="C81" s="9"/>
      <c r="D81" s="9"/>
      <c r="E81" s="9"/>
      <c r="F81" s="48">
        <f>SUM(F72:F80)</f>
        <v>2128</v>
      </c>
      <c r="G81" s="48">
        <f>SUM(G72:G80)</f>
        <v>1300</v>
      </c>
      <c r="H81" s="103">
        <f t="shared" ref="H81:M81" si="5">SUM(H72:H80)</f>
        <v>5570.11</v>
      </c>
      <c r="I81" s="48">
        <f t="shared" si="5"/>
        <v>1575</v>
      </c>
      <c r="J81" s="48">
        <f t="shared" si="5"/>
        <v>4111.7199999999993</v>
      </c>
      <c r="K81" s="48">
        <f t="shared" si="5"/>
        <v>1500</v>
      </c>
      <c r="L81" s="48">
        <f t="shared" si="5"/>
        <v>47576.15</v>
      </c>
      <c r="M81" s="48">
        <f t="shared" si="5"/>
        <v>1500</v>
      </c>
      <c r="N81" s="65"/>
      <c r="O81" s="49" t="e">
        <f t="shared" ref="O81:Q81" si="6">SUM(O72:O76)</f>
        <v>#REF!</v>
      </c>
      <c r="P81" s="49">
        <v>2910</v>
      </c>
      <c r="Q81" s="61">
        <f t="shared" si="6"/>
        <v>2511.14</v>
      </c>
      <c r="R81" s="61">
        <v>6134.43</v>
      </c>
      <c r="S81" s="62">
        <f>SUM(S74:S76)</f>
        <v>1113.51</v>
      </c>
      <c r="T81" s="62">
        <f>SUM(T74:T76)</f>
        <v>1461.5300000000002</v>
      </c>
      <c r="U81" s="1"/>
      <c r="V81" s="1"/>
      <c r="W81" s="1"/>
      <c r="X81" s="1"/>
    </row>
    <row r="82" spans="1:24" ht="15.75" thickBot="1" x14ac:dyDescent="0.3">
      <c r="A82" s="9"/>
      <c r="B82" s="47"/>
      <c r="C82" s="9"/>
      <c r="D82" s="9"/>
      <c r="E82" s="9"/>
      <c r="F82" s="42"/>
      <c r="G82" s="42"/>
      <c r="H82" s="102"/>
      <c r="I82" s="67"/>
      <c r="J82" s="69"/>
      <c r="K82" s="67"/>
      <c r="L82" s="68"/>
      <c r="M82" s="71"/>
      <c r="N82" s="43"/>
      <c r="O82" s="68"/>
      <c r="P82" s="69"/>
      <c r="Q82" s="72"/>
      <c r="R82" s="72"/>
      <c r="S82" s="73"/>
      <c r="T82" s="73"/>
      <c r="U82" s="1"/>
      <c r="V82" s="1"/>
      <c r="W82" s="1"/>
      <c r="X82" s="1"/>
    </row>
    <row r="83" spans="1:24" ht="17.25" thickBot="1" x14ac:dyDescent="0.4">
      <c r="A83" s="9"/>
      <c r="B83" s="36" t="s">
        <v>76</v>
      </c>
      <c r="C83" s="9"/>
      <c r="D83" s="9"/>
      <c r="E83" s="9"/>
      <c r="F83" s="48">
        <f>F52+F57+F60+F69+F81</f>
        <v>36498</v>
      </c>
      <c r="G83" s="48">
        <f>G52+G57+G60+G69+G81</f>
        <v>37903</v>
      </c>
      <c r="H83" s="103">
        <f>H52+H57+H60+H69+H81</f>
        <v>37114.479999999996</v>
      </c>
      <c r="I83" s="48">
        <f>I52+I57+I60+I69+I81</f>
        <v>37660</v>
      </c>
      <c r="J83" s="49">
        <f>J52+J57+J69+J81</f>
        <v>29365.58</v>
      </c>
      <c r="K83" s="48">
        <f>K52+K57+K69+K81</f>
        <v>37616</v>
      </c>
      <c r="L83" s="49">
        <f>+L52+L57+L60+L69+L81</f>
        <v>96120.110000000015</v>
      </c>
      <c r="M83" s="48">
        <f>M52+M57+M69+M81</f>
        <v>41566.28</v>
      </c>
      <c r="N83" s="65"/>
      <c r="O83" s="49" t="e">
        <f>O52+O57+O69+O81</f>
        <v>#REF!</v>
      </c>
      <c r="P83" s="49">
        <v>28392.25</v>
      </c>
      <c r="Q83" s="51">
        <f>Q52+Q57+Q69+Q81</f>
        <v>31465.549999999996</v>
      </c>
      <c r="R83" s="51">
        <v>32466.79</v>
      </c>
      <c r="S83" s="52">
        <f>S52+S57+S69+S81</f>
        <v>29651.559999999998</v>
      </c>
      <c r="T83" s="52">
        <f>+T52+T57+T69+T81</f>
        <v>34634.1</v>
      </c>
      <c r="U83" s="1"/>
      <c r="V83" s="1"/>
      <c r="W83" s="1"/>
      <c r="X83" s="1"/>
    </row>
    <row r="84" spans="1:24" ht="16.5" thickTop="1" thickBot="1" x14ac:dyDescent="0.3">
      <c r="A84" s="9"/>
      <c r="B84" s="36"/>
      <c r="C84" s="9"/>
      <c r="D84" s="9"/>
      <c r="E84" s="9"/>
      <c r="F84" s="42"/>
      <c r="G84" s="42"/>
      <c r="H84" s="102"/>
      <c r="I84" s="43"/>
      <c r="J84" s="44"/>
      <c r="K84" s="43"/>
      <c r="L84" s="44"/>
      <c r="M84" s="43"/>
      <c r="N84" s="43"/>
      <c r="O84" s="44"/>
      <c r="P84" s="46"/>
      <c r="Q84" s="2"/>
      <c r="R84" s="2"/>
      <c r="S84" s="1"/>
      <c r="T84" s="1"/>
      <c r="U84" s="1"/>
      <c r="V84" s="1"/>
      <c r="W84" s="1"/>
      <c r="X84" s="1"/>
    </row>
    <row r="85" spans="1:24" ht="17.25" thickBot="1" x14ac:dyDescent="0.4">
      <c r="A85" s="9"/>
      <c r="B85" s="36" t="s">
        <v>77</v>
      </c>
      <c r="C85" s="9"/>
      <c r="D85" s="9"/>
      <c r="E85" s="9"/>
      <c r="F85" s="74">
        <f t="shared" ref="F85:M85" si="7">F24-F83</f>
        <v>0</v>
      </c>
      <c r="G85" s="74">
        <f t="shared" si="7"/>
        <v>47</v>
      </c>
      <c r="H85" s="104">
        <f t="shared" si="7"/>
        <v>18153.060000000005</v>
      </c>
      <c r="I85" s="74">
        <f t="shared" si="7"/>
        <v>0</v>
      </c>
      <c r="J85" s="74">
        <f t="shared" si="7"/>
        <v>13014.159999999996</v>
      </c>
      <c r="K85" s="74">
        <f t="shared" si="7"/>
        <v>0</v>
      </c>
      <c r="L85" s="74">
        <f t="shared" si="7"/>
        <v>-9512.1400000000285</v>
      </c>
      <c r="M85" s="74">
        <f t="shared" si="7"/>
        <v>-4832.2799999999988</v>
      </c>
      <c r="N85" s="75"/>
      <c r="O85" s="76" t="e">
        <f>O24-O83</f>
        <v>#REF!</v>
      </c>
      <c r="P85" s="76">
        <v>8719</v>
      </c>
      <c r="Q85" s="77">
        <f>Q24-Q83</f>
        <v>5395.7284682319005</v>
      </c>
      <c r="R85" s="77">
        <v>587.40999999999622</v>
      </c>
      <c r="S85" s="78">
        <f>S24-S83</f>
        <v>139.83153176811174</v>
      </c>
      <c r="T85" s="78">
        <f>T24-T83-10000-0.01</f>
        <v>-7462.7999999999938</v>
      </c>
      <c r="U85" s="1"/>
      <c r="V85" s="1"/>
      <c r="W85" s="1"/>
      <c r="X85" s="1"/>
    </row>
    <row r="86" spans="1:24" x14ac:dyDescent="0.25">
      <c r="A86" s="9"/>
      <c r="B86" s="36"/>
      <c r="C86" s="9"/>
      <c r="D86" s="9"/>
      <c r="E86" s="9"/>
      <c r="F86" s="42"/>
      <c r="G86" s="42"/>
      <c r="H86" s="102"/>
      <c r="I86" s="43"/>
      <c r="J86" s="44"/>
      <c r="K86" s="43"/>
      <c r="L86" s="44"/>
      <c r="M86" s="43"/>
      <c r="N86" s="43"/>
      <c r="O86" s="44"/>
      <c r="P86" s="46"/>
      <c r="Q86" s="2"/>
      <c r="R86" s="72"/>
      <c r="S86" s="73"/>
      <c r="T86" s="73"/>
      <c r="U86" s="1"/>
      <c r="V86" s="1"/>
      <c r="W86" s="1"/>
      <c r="X86" s="1"/>
    </row>
    <row r="87" spans="1:24" x14ac:dyDescent="0.25">
      <c r="A87" s="9"/>
      <c r="B87" s="79" t="s">
        <v>78</v>
      </c>
      <c r="C87" s="9"/>
      <c r="D87" s="10"/>
      <c r="E87" s="10"/>
      <c r="F87" s="80">
        <f>+H88</f>
        <v>90667.22</v>
      </c>
      <c r="G87" s="80">
        <f>+I88</f>
        <v>72514.16</v>
      </c>
      <c r="H87" s="105">
        <f>+I88</f>
        <v>72514.16</v>
      </c>
      <c r="I87" s="80">
        <f>+J88</f>
        <v>72514.16</v>
      </c>
      <c r="J87" s="81">
        <v>59500</v>
      </c>
      <c r="K87" s="82">
        <v>59500</v>
      </c>
      <c r="L87" s="83">
        <v>69011.66</v>
      </c>
      <c r="M87" s="82">
        <v>69012</v>
      </c>
      <c r="N87" s="43"/>
      <c r="O87" s="83">
        <f>P88</f>
        <v>52182.09</v>
      </c>
      <c r="P87" s="83">
        <v>43463.09</v>
      </c>
      <c r="Q87" s="84" t="e">
        <f>R88</f>
        <v>#REF!</v>
      </c>
      <c r="R87" s="84">
        <v>37479.941531768112</v>
      </c>
      <c r="S87" s="85">
        <v>47440.11</v>
      </c>
      <c r="T87" s="86">
        <v>44802.91</v>
      </c>
      <c r="U87" s="5"/>
      <c r="V87" s="1"/>
      <c r="W87" s="1"/>
      <c r="X87" s="1"/>
    </row>
    <row r="88" spans="1:24" ht="15.75" thickBot="1" x14ac:dyDescent="0.3">
      <c r="A88" s="9"/>
      <c r="B88" s="36" t="s">
        <v>79</v>
      </c>
      <c r="C88" s="9"/>
      <c r="D88" s="9"/>
      <c r="E88" s="9"/>
      <c r="F88" s="43">
        <f>+F87+F85</f>
        <v>90667.22</v>
      </c>
      <c r="G88" s="43">
        <f>+G87+G85</f>
        <v>72561.16</v>
      </c>
      <c r="H88" s="106">
        <f>+H87+H85</f>
        <v>90667.22</v>
      </c>
      <c r="I88" s="43">
        <f>+I87+I85</f>
        <v>72514.16</v>
      </c>
      <c r="J88" s="44">
        <f>+J87+J85</f>
        <v>72514.16</v>
      </c>
      <c r="K88" s="43" t="e">
        <f>K87+K85-#REF!-#REF!</f>
        <v>#REF!</v>
      </c>
      <c r="L88" s="44" t="e">
        <f>L87+L85-#REF!-#REF!</f>
        <v>#REF!</v>
      </c>
      <c r="M88" s="43" t="e">
        <f>M87+M85-#REF!-#REF!</f>
        <v>#REF!</v>
      </c>
      <c r="N88" s="43"/>
      <c r="O88" s="44" t="e">
        <f>O87+O85-#REF!-#REF!</f>
        <v>#REF!</v>
      </c>
      <c r="P88" s="87">
        <v>52182.09</v>
      </c>
      <c r="Q88" s="88" t="e">
        <f>Q87+Q85+#REF!-#REF!+0.01</f>
        <v>#REF!</v>
      </c>
      <c r="R88" s="88" t="e">
        <f>R87+R85-#REF!-#REF!</f>
        <v>#REF!</v>
      </c>
      <c r="S88" s="89" t="e">
        <f>S87+S85-#REF!-#REF!</f>
        <v>#REF!</v>
      </c>
      <c r="T88" s="89" t="e">
        <f>T87+T85-#REF!</f>
        <v>#REF!</v>
      </c>
      <c r="U88" s="1"/>
      <c r="V88" s="1"/>
      <c r="W88" s="1"/>
      <c r="X88" s="1"/>
    </row>
    <row r="89" spans="1:24" ht="15.75" thickTop="1" x14ac:dyDescent="0.25">
      <c r="A89" s="9"/>
      <c r="B89" s="36"/>
      <c r="C89" s="9"/>
      <c r="D89" s="9"/>
      <c r="E89" s="9"/>
      <c r="F89" s="42"/>
      <c r="G89" s="42"/>
      <c r="H89" s="42"/>
      <c r="I89" s="43"/>
      <c r="J89" s="44"/>
      <c r="K89" s="43"/>
      <c r="L89" s="44"/>
      <c r="M89" s="43"/>
      <c r="N89" s="43"/>
      <c r="O89" s="44"/>
      <c r="P89" s="46"/>
      <c r="Q89" s="2"/>
      <c r="R89" s="2"/>
      <c r="S89" s="1"/>
      <c r="T89" s="1"/>
      <c r="U89" s="1"/>
      <c r="V89" s="1"/>
      <c r="W89" s="1"/>
      <c r="X89" s="1"/>
    </row>
    <row r="90" spans="1:24" x14ac:dyDescent="0.25">
      <c r="A90" s="9"/>
      <c r="B90" s="36" t="s">
        <v>81</v>
      </c>
      <c r="C90" s="9"/>
      <c r="D90" s="9"/>
      <c r="E90" s="9"/>
      <c r="F90" s="42"/>
      <c r="G90" s="42"/>
      <c r="H90" s="42"/>
      <c r="I90" s="43"/>
      <c r="J90" s="44"/>
      <c r="K90" s="43"/>
      <c r="L90" s="44"/>
      <c r="M90" s="43"/>
      <c r="N90" s="43"/>
      <c r="O90" s="44"/>
      <c r="P90" s="46"/>
      <c r="Q90" s="2"/>
      <c r="R90" s="2"/>
      <c r="S90" s="1"/>
      <c r="T90" s="1"/>
      <c r="U90" s="1"/>
      <c r="V90" s="1"/>
      <c r="W90" s="1"/>
      <c r="X90" s="1"/>
    </row>
    <row r="91" spans="1:24" x14ac:dyDescent="0.25">
      <c r="A91" s="9"/>
      <c r="B91" s="47"/>
      <c r="C91" s="9"/>
      <c r="D91" s="95" t="s">
        <v>82</v>
      </c>
      <c r="E91" s="95"/>
      <c r="F91" s="96"/>
      <c r="G91" s="96"/>
      <c r="H91" s="96"/>
      <c r="I91" s="90"/>
      <c r="J91" s="97"/>
      <c r="K91" s="90"/>
      <c r="L91" s="97"/>
      <c r="M91" s="90"/>
      <c r="N91" s="43"/>
      <c r="O91" s="44"/>
      <c r="P91" s="46"/>
      <c r="Q91" s="2"/>
      <c r="R91" s="2"/>
      <c r="S91" s="1"/>
      <c r="T91" s="1"/>
      <c r="U91" s="1"/>
      <c r="V91" s="1"/>
      <c r="W91" s="1"/>
      <c r="X91" s="1"/>
    </row>
    <row r="92" spans="1:24" x14ac:dyDescent="0.25">
      <c r="A92" s="9"/>
      <c r="B92" s="47"/>
      <c r="C92" s="9"/>
      <c r="D92" s="95" t="s">
        <v>95</v>
      </c>
      <c r="E92" s="95"/>
      <c r="F92" s="96"/>
      <c r="G92" s="96"/>
      <c r="H92" s="96"/>
      <c r="I92" s="90"/>
      <c r="J92" s="97"/>
      <c r="K92" s="90"/>
      <c r="L92" s="97"/>
      <c r="M92" s="90"/>
      <c r="N92" s="43"/>
      <c r="O92" s="44"/>
      <c r="P92" s="46"/>
      <c r="Q92" s="2"/>
      <c r="R92" s="2"/>
      <c r="S92" s="1"/>
      <c r="T92" s="1"/>
      <c r="U92" s="1"/>
      <c r="V92" s="1"/>
      <c r="W92" s="1"/>
      <c r="X92" s="1"/>
    </row>
    <row r="93" spans="1:24" x14ac:dyDescent="0.25">
      <c r="A93" s="9"/>
      <c r="B93" s="47"/>
      <c r="C93" s="9"/>
      <c r="D93" s="9"/>
      <c r="E93" s="9"/>
      <c r="F93" s="42"/>
      <c r="G93" s="42"/>
      <c r="H93" s="42"/>
      <c r="I93" s="43"/>
      <c r="J93" s="44"/>
      <c r="K93" s="43"/>
      <c r="L93" s="44"/>
      <c r="M93" s="43"/>
      <c r="N93" s="43"/>
      <c r="O93" s="44"/>
      <c r="P93" s="46"/>
      <c r="Q93" s="2"/>
      <c r="R93" s="2"/>
      <c r="S93" s="1"/>
      <c r="T93" s="1"/>
      <c r="U93" s="1"/>
      <c r="V93" s="1"/>
      <c r="W93" s="1"/>
      <c r="X93" s="1"/>
    </row>
    <row r="94" spans="1:24" x14ac:dyDescent="0.25">
      <c r="A94" s="9"/>
      <c r="B94" s="36"/>
      <c r="C94" s="9"/>
      <c r="D94" s="9"/>
      <c r="E94" s="9"/>
      <c r="F94" s="42"/>
      <c r="G94" s="42"/>
      <c r="H94" s="42"/>
      <c r="I94" s="43"/>
      <c r="J94" s="44"/>
      <c r="K94" s="67"/>
      <c r="L94" s="68"/>
      <c r="M94" s="71"/>
      <c r="N94" s="43"/>
      <c r="O94" s="68"/>
      <c r="P94" s="69"/>
      <c r="Q94" s="61"/>
      <c r="R94" s="61"/>
      <c r="S94" s="62"/>
      <c r="T94" s="62"/>
      <c r="U94" s="1"/>
      <c r="V94" s="1"/>
      <c r="W94" s="1"/>
      <c r="X94" s="1"/>
    </row>
    <row r="95" spans="1:24" x14ac:dyDescent="0.25">
      <c r="A95" s="9"/>
      <c r="B95" s="36"/>
      <c r="C95" s="9"/>
      <c r="D95" s="9"/>
      <c r="E95" s="9"/>
      <c r="F95" s="42"/>
      <c r="G95" s="42"/>
      <c r="H95" s="42"/>
      <c r="I95" s="43"/>
      <c r="J95" s="44"/>
      <c r="K95" s="43"/>
      <c r="L95" s="44"/>
      <c r="M95" s="43"/>
      <c r="N95" s="43"/>
      <c r="O95" s="44"/>
      <c r="P95" s="46"/>
      <c r="Q95" s="2"/>
      <c r="R95" s="2"/>
      <c r="S95" s="1"/>
      <c r="T95" s="1"/>
      <c r="U95" s="1"/>
      <c r="V95" s="1"/>
      <c r="W95" s="1"/>
      <c r="X95" s="1"/>
    </row>
    <row r="96" spans="1:24" x14ac:dyDescent="0.25">
      <c r="A96" s="9"/>
      <c r="B96" s="36"/>
      <c r="C96" s="9"/>
      <c r="D96" s="9"/>
      <c r="E96" s="9"/>
      <c r="F96" s="42"/>
      <c r="G96" s="42"/>
      <c r="H96" s="42"/>
      <c r="I96" s="43"/>
      <c r="J96" s="44"/>
      <c r="K96" s="43"/>
      <c r="L96" s="44"/>
      <c r="M96" s="43"/>
      <c r="N96" s="43"/>
      <c r="O96" s="44"/>
      <c r="P96" s="46"/>
      <c r="Q96" s="2"/>
      <c r="R96" s="2"/>
      <c r="S96" s="1"/>
      <c r="T96" s="1"/>
      <c r="U96" s="1"/>
      <c r="V96" s="1"/>
      <c r="W96" s="1"/>
      <c r="X96" s="1"/>
    </row>
    <row r="97" spans="1:32" x14ac:dyDescent="0.25">
      <c r="A97" s="9"/>
      <c r="B97" s="47"/>
      <c r="C97" s="9"/>
      <c r="D97" s="9"/>
      <c r="E97" s="9"/>
      <c r="F97" s="42"/>
      <c r="G97" s="42"/>
      <c r="H97" s="42"/>
      <c r="I97" s="43"/>
      <c r="J97" s="44"/>
      <c r="K97" s="43"/>
      <c r="L97" s="44"/>
      <c r="M97" s="43"/>
      <c r="N97" s="43"/>
      <c r="O97" s="44"/>
      <c r="P97" s="46"/>
      <c r="Q97" s="2"/>
      <c r="R97" s="2"/>
      <c r="S97" s="1"/>
      <c r="T97" s="1"/>
      <c r="U97" s="1"/>
      <c r="V97" s="1"/>
      <c r="W97" s="1"/>
      <c r="X97" s="1"/>
    </row>
    <row r="98" spans="1:32" x14ac:dyDescent="0.25">
      <c r="A98" s="9"/>
      <c r="B98" s="47"/>
      <c r="C98" s="9"/>
      <c r="D98" s="9"/>
      <c r="E98" s="9"/>
      <c r="F98" s="42"/>
      <c r="G98" s="42"/>
      <c r="H98" s="42"/>
      <c r="I98" s="43"/>
      <c r="J98" s="44"/>
      <c r="K98" s="43"/>
      <c r="L98" s="44"/>
      <c r="M98" s="43"/>
      <c r="N98" s="43"/>
      <c r="O98" s="44"/>
      <c r="P98" s="46"/>
      <c r="Q98" s="2"/>
      <c r="R98" s="2"/>
      <c r="S98" s="1"/>
      <c r="T98" s="1"/>
      <c r="U98" s="1"/>
      <c r="V98" s="1"/>
      <c r="W98" s="1"/>
      <c r="X98" s="1"/>
    </row>
    <row r="99" spans="1:32" x14ac:dyDescent="0.25">
      <c r="A99" s="9"/>
      <c r="B99" s="47"/>
      <c r="C99" s="9"/>
      <c r="D99" s="9"/>
      <c r="E99" s="9"/>
      <c r="F99" s="42"/>
      <c r="G99" s="42"/>
      <c r="H99" s="42"/>
      <c r="I99" s="43"/>
      <c r="J99" s="44"/>
      <c r="K99" s="43"/>
      <c r="L99" s="44"/>
      <c r="M99" s="43"/>
      <c r="N99" s="43"/>
      <c r="O99" s="44"/>
      <c r="P99" s="46"/>
      <c r="Q99" s="2"/>
      <c r="R99" s="2"/>
      <c r="S99" s="1"/>
      <c r="T99" s="1"/>
      <c r="U99" s="1"/>
      <c r="V99" s="1"/>
      <c r="W99" s="1"/>
      <c r="X99" s="1"/>
    </row>
    <row r="100" spans="1:32" x14ac:dyDescent="0.25">
      <c r="A100" s="9"/>
      <c r="B100" s="47"/>
      <c r="C100" s="9"/>
      <c r="D100" s="9"/>
      <c r="E100" s="9"/>
      <c r="F100" s="42"/>
      <c r="G100" s="42"/>
      <c r="H100" s="42"/>
      <c r="I100" s="43"/>
      <c r="J100" s="44"/>
      <c r="K100" s="43"/>
      <c r="L100" s="44"/>
      <c r="M100" s="43"/>
      <c r="N100" s="43"/>
      <c r="O100" s="44"/>
      <c r="P100" s="46"/>
      <c r="Q100" s="2"/>
      <c r="R100" s="2"/>
      <c r="S100" s="1"/>
      <c r="T100" s="1"/>
      <c r="U100" s="1"/>
      <c r="V100" s="1"/>
      <c r="W100" s="1"/>
      <c r="X100" s="1"/>
    </row>
    <row r="101" spans="1:32" x14ac:dyDescent="0.25">
      <c r="A101" s="9"/>
      <c r="B101" s="47"/>
      <c r="C101" s="9"/>
      <c r="D101" s="9"/>
      <c r="E101" s="9"/>
      <c r="F101" s="42"/>
      <c r="G101" s="42"/>
      <c r="H101" s="42"/>
      <c r="I101" s="43"/>
      <c r="J101" s="44"/>
      <c r="K101" s="43"/>
      <c r="L101" s="44"/>
      <c r="M101" s="43"/>
      <c r="N101" s="43"/>
      <c r="O101" s="44"/>
      <c r="P101" s="46"/>
      <c r="Q101" s="2"/>
      <c r="R101" s="2"/>
      <c r="S101" s="1"/>
      <c r="T101" s="1"/>
      <c r="U101" s="1"/>
      <c r="V101" s="1"/>
      <c r="W101" s="1"/>
      <c r="X101" s="1"/>
    </row>
    <row r="102" spans="1:32" x14ac:dyDescent="0.25">
      <c r="A102" s="9"/>
      <c r="B102" s="47"/>
      <c r="C102" s="9"/>
      <c r="D102" s="9"/>
      <c r="E102" s="9"/>
      <c r="F102" s="42"/>
      <c r="G102" s="42"/>
      <c r="H102" s="42"/>
      <c r="I102" s="43"/>
      <c r="J102" s="44"/>
      <c r="K102" s="43"/>
      <c r="L102" s="44"/>
      <c r="M102" s="43"/>
      <c r="N102" s="43"/>
      <c r="O102" s="44"/>
      <c r="P102" s="46"/>
      <c r="Q102" s="2"/>
      <c r="R102" s="2"/>
      <c r="S102" s="1"/>
      <c r="T102" s="1"/>
      <c r="U102" s="1"/>
      <c r="V102" s="1"/>
      <c r="W102" s="1"/>
      <c r="X102" s="1"/>
    </row>
    <row r="103" spans="1:32" x14ac:dyDescent="0.25">
      <c r="A103" s="9"/>
      <c r="B103" s="36"/>
      <c r="C103" s="9"/>
      <c r="D103" s="9"/>
      <c r="E103" s="9"/>
      <c r="F103" s="42"/>
      <c r="G103" s="9"/>
      <c r="H103" s="9"/>
      <c r="I103" s="43"/>
      <c r="J103" s="44"/>
      <c r="K103" s="67"/>
      <c r="L103" s="68"/>
      <c r="M103" s="71"/>
      <c r="N103" s="43"/>
      <c r="O103" s="68"/>
      <c r="P103" s="69"/>
      <c r="Q103" s="61"/>
      <c r="R103" s="61"/>
      <c r="S103" s="62"/>
      <c r="T103" s="62"/>
      <c r="U103" s="1"/>
      <c r="V103" s="1"/>
      <c r="W103" s="1"/>
      <c r="X103" s="1"/>
    </row>
    <row r="104" spans="1:32" ht="15.75" thickBot="1" x14ac:dyDescent="0.3">
      <c r="A104" s="9"/>
      <c r="B104" s="36"/>
      <c r="C104" s="9"/>
      <c r="D104" s="9"/>
      <c r="E104" s="9"/>
      <c r="F104" s="42"/>
      <c r="G104" s="9"/>
      <c r="H104" s="9"/>
      <c r="I104" s="43"/>
      <c r="J104" s="44"/>
      <c r="K104" s="43"/>
      <c r="L104" s="44"/>
      <c r="M104" s="43"/>
      <c r="N104" s="43"/>
      <c r="O104" s="44"/>
      <c r="P104" s="46"/>
      <c r="Q104" s="2"/>
      <c r="R104" s="2"/>
      <c r="S104" s="1"/>
      <c r="T104" s="73"/>
      <c r="U104" s="1"/>
      <c r="V104" s="1"/>
      <c r="W104" s="1"/>
      <c r="X104" s="1"/>
    </row>
    <row r="105" spans="1:32" ht="15.75" thickBot="1" x14ac:dyDescent="0.3">
      <c r="A105" s="9"/>
      <c r="B105" s="36"/>
      <c r="C105" s="9"/>
      <c r="D105" s="9"/>
      <c r="E105" s="9"/>
      <c r="F105" s="42"/>
      <c r="G105" s="9"/>
      <c r="H105" s="9"/>
      <c r="I105" s="43"/>
      <c r="J105" s="44"/>
      <c r="K105" s="67"/>
      <c r="L105" s="68"/>
      <c r="M105" s="71"/>
      <c r="N105" s="43"/>
      <c r="O105" s="68"/>
      <c r="P105" s="69"/>
      <c r="Q105" s="77"/>
      <c r="R105" s="77"/>
      <c r="S105" s="78"/>
      <c r="T105" s="78"/>
      <c r="U105" s="1"/>
      <c r="V105" s="1"/>
      <c r="W105" s="1"/>
      <c r="X105" s="1"/>
    </row>
    <row r="106" spans="1:32" x14ac:dyDescent="0.25">
      <c r="A106" s="9"/>
      <c r="B106" s="36"/>
      <c r="C106" s="9"/>
      <c r="D106" s="9"/>
      <c r="E106" s="9"/>
      <c r="F106" s="42"/>
      <c r="G106" s="9"/>
      <c r="H106" s="9"/>
      <c r="I106" s="43"/>
      <c r="J106" s="44"/>
      <c r="K106" s="43"/>
      <c r="L106" s="44"/>
      <c r="M106" s="43"/>
      <c r="N106" s="43"/>
      <c r="O106" s="44"/>
      <c r="P106" s="46"/>
      <c r="Q106" s="2"/>
      <c r="R106" s="2"/>
      <c r="S106" s="1"/>
      <c r="T106" s="73"/>
      <c r="U106" s="1"/>
      <c r="V106" s="1"/>
      <c r="W106" s="1"/>
      <c r="X106" s="1"/>
    </row>
    <row r="107" spans="1:32" ht="15.75" thickBot="1" x14ac:dyDescent="0.3">
      <c r="A107" s="9"/>
      <c r="B107" s="36"/>
      <c r="C107" s="9"/>
      <c r="D107" s="9"/>
      <c r="E107" s="9"/>
      <c r="F107" s="42"/>
      <c r="G107" s="9"/>
      <c r="H107" s="9"/>
      <c r="I107" s="43"/>
      <c r="J107" s="44"/>
      <c r="K107" s="43"/>
      <c r="L107" s="44"/>
      <c r="M107" s="43"/>
      <c r="N107" s="43"/>
      <c r="O107" s="44"/>
      <c r="P107" s="46"/>
      <c r="Q107" s="2"/>
      <c r="R107" s="2"/>
      <c r="S107" s="1"/>
      <c r="T107" s="73"/>
      <c r="U107" s="1"/>
      <c r="V107" s="1"/>
      <c r="W107" s="1"/>
      <c r="X107" s="1"/>
    </row>
    <row r="108" spans="1:32" ht="15.75" thickBot="1" x14ac:dyDescent="0.3">
      <c r="A108" s="9"/>
      <c r="B108" s="36"/>
      <c r="C108" s="9"/>
      <c r="D108" s="9"/>
      <c r="E108" s="9"/>
      <c r="F108" s="42"/>
      <c r="G108" s="9"/>
      <c r="H108" s="9"/>
      <c r="I108" s="43"/>
      <c r="J108" s="44"/>
      <c r="K108" s="67"/>
      <c r="L108" s="68"/>
      <c r="M108" s="71"/>
      <c r="N108" s="43"/>
      <c r="O108" s="68"/>
      <c r="P108" s="69"/>
      <c r="Q108" s="77"/>
      <c r="R108" s="77"/>
      <c r="S108" s="78"/>
      <c r="T108" s="78"/>
      <c r="U108" s="1"/>
      <c r="V108" s="1"/>
      <c r="W108" s="1"/>
      <c r="X108" s="1"/>
    </row>
    <row r="109" spans="1:32" x14ac:dyDescent="0.25">
      <c r="A109" s="9"/>
      <c r="B109" s="36"/>
      <c r="C109" s="9"/>
      <c r="D109" s="9"/>
      <c r="E109" s="9"/>
      <c r="F109" s="42"/>
      <c r="G109" s="9"/>
      <c r="H109" s="9"/>
      <c r="I109" s="43"/>
      <c r="J109" s="44"/>
      <c r="K109" s="67"/>
      <c r="L109" s="68"/>
      <c r="M109" s="71"/>
      <c r="N109" s="43"/>
      <c r="O109" s="68"/>
      <c r="P109" s="69"/>
      <c r="Q109" s="72"/>
      <c r="R109" s="72"/>
      <c r="S109" s="73"/>
      <c r="T109" s="73"/>
      <c r="U109" s="1"/>
      <c r="V109" s="1"/>
      <c r="W109" s="1"/>
      <c r="X109" s="1"/>
    </row>
    <row r="110" spans="1:32" x14ac:dyDescent="0.25">
      <c r="A110" s="9"/>
      <c r="B110" s="36"/>
      <c r="C110" s="9"/>
      <c r="D110" s="9"/>
      <c r="E110" s="9"/>
      <c r="F110" s="42"/>
      <c r="G110" s="9"/>
      <c r="H110" s="9"/>
      <c r="I110" s="43"/>
      <c r="J110" s="44"/>
      <c r="K110" s="43"/>
      <c r="L110" s="44"/>
      <c r="M110" s="43"/>
      <c r="N110" s="43"/>
      <c r="O110" s="44"/>
      <c r="P110" s="46"/>
      <c r="Q110" s="2"/>
      <c r="R110" s="2"/>
      <c r="S110" s="1"/>
      <c r="T110" s="1"/>
      <c r="U110" s="1"/>
      <c r="V110" s="1"/>
      <c r="W110" s="1"/>
      <c r="X110" s="1"/>
    </row>
    <row r="111" spans="1:32" x14ac:dyDescent="0.25">
      <c r="A111" s="9"/>
      <c r="B111" s="9"/>
      <c r="C111" s="9"/>
      <c r="D111" s="9"/>
      <c r="E111" s="9"/>
      <c r="F111" s="42"/>
      <c r="G111" s="9"/>
      <c r="H111" s="9"/>
      <c r="I111" s="43"/>
      <c r="J111" s="44"/>
      <c r="K111" s="43"/>
      <c r="L111" s="44"/>
      <c r="M111" s="43"/>
      <c r="N111" s="43"/>
      <c r="O111" s="44"/>
      <c r="P111" s="46"/>
      <c r="Q111" s="2"/>
      <c r="R111" s="2"/>
      <c r="S111" s="1"/>
      <c r="T111" s="1"/>
      <c r="U111" s="1"/>
      <c r="V111" s="1"/>
      <c r="W111" s="1"/>
      <c r="X111" s="1"/>
    </row>
    <row r="112" spans="1:32" x14ac:dyDescent="0.25">
      <c r="A112" s="9"/>
      <c r="B112" s="36"/>
      <c r="C112" s="9"/>
      <c r="D112" s="9"/>
      <c r="E112" s="9"/>
      <c r="F112" s="42"/>
      <c r="G112" s="9"/>
      <c r="H112" s="9"/>
      <c r="I112" s="43"/>
      <c r="J112" s="44"/>
      <c r="K112" s="90"/>
      <c r="L112" s="44"/>
      <c r="M112" s="43"/>
      <c r="N112" s="43"/>
      <c r="O112" s="44"/>
      <c r="P112" s="91"/>
      <c r="Q112" s="92"/>
      <c r="R112" s="92"/>
      <c r="S112" s="93"/>
      <c r="T112" s="93"/>
      <c r="U112" s="58"/>
      <c r="V112" s="58"/>
      <c r="W112" s="58"/>
      <c r="X112" s="58"/>
      <c r="Y112" s="94"/>
      <c r="Z112" s="94"/>
      <c r="AA112" s="94"/>
      <c r="AB112" s="94"/>
      <c r="AC112" s="94"/>
      <c r="AD112" s="94"/>
      <c r="AE112" s="94"/>
      <c r="AF112" s="94"/>
    </row>
    <row r="113" spans="1:24" x14ac:dyDescent="0.25">
      <c r="A113" s="9"/>
      <c r="B113" s="9"/>
      <c r="C113" s="9"/>
      <c r="D113" s="9"/>
      <c r="E113" s="9"/>
      <c r="F113" s="42"/>
      <c r="G113" s="9"/>
      <c r="H113" s="9"/>
      <c r="I113" s="43"/>
      <c r="J113" s="44"/>
      <c r="K113" s="43"/>
      <c r="L113" s="44"/>
      <c r="M113" s="43"/>
      <c r="N113" s="43"/>
      <c r="O113" s="44"/>
      <c r="P113" s="46"/>
      <c r="Q113" s="2"/>
      <c r="R113" s="2"/>
      <c r="S113" s="1"/>
      <c r="T113" s="1"/>
      <c r="U113" s="1"/>
      <c r="V113" s="1"/>
      <c r="W113" s="1"/>
      <c r="X113" s="1"/>
    </row>
    <row r="114" spans="1:24" x14ac:dyDescent="0.25">
      <c r="A114" s="9"/>
      <c r="B114" s="47"/>
      <c r="C114" s="47"/>
      <c r="D114" s="9"/>
      <c r="E114" s="9"/>
      <c r="F114" s="42"/>
      <c r="G114" s="9"/>
      <c r="H114" s="9"/>
      <c r="I114" s="43"/>
      <c r="J114" s="44"/>
      <c r="K114" s="43"/>
      <c r="L114" s="44"/>
      <c r="M114" s="43"/>
      <c r="N114" s="43"/>
      <c r="O114" s="44"/>
      <c r="P114" s="46"/>
      <c r="Q114" s="2"/>
      <c r="R114" s="2"/>
      <c r="S114" s="1"/>
      <c r="T114" s="1"/>
      <c r="U114" s="1"/>
      <c r="V114" s="1"/>
      <c r="W114" s="1"/>
      <c r="X114" s="1"/>
    </row>
    <row r="115" spans="1:24" x14ac:dyDescent="0.25">
      <c r="A115" s="9"/>
      <c r="B115" s="9"/>
      <c r="C115" s="9"/>
      <c r="D115" s="9"/>
      <c r="E115" s="9"/>
      <c r="F115" s="42"/>
      <c r="G115" s="9"/>
      <c r="H115" s="9"/>
      <c r="I115" s="43"/>
      <c r="J115" s="44"/>
      <c r="K115" s="43"/>
      <c r="L115" s="44"/>
      <c r="M115" s="43"/>
      <c r="N115" s="43"/>
      <c r="O115" s="44"/>
      <c r="P115" s="46"/>
      <c r="Q115" s="2"/>
      <c r="R115" s="2"/>
      <c r="S115" s="1"/>
      <c r="T115" s="1"/>
      <c r="U115" s="1"/>
      <c r="V115" s="1"/>
      <c r="W115" s="1"/>
      <c r="X115" s="1"/>
    </row>
    <row r="116" spans="1:24" x14ac:dyDescent="0.25">
      <c r="F116" s="107"/>
    </row>
    <row r="117" spans="1:24" x14ac:dyDescent="0.25">
      <c r="F117" s="107"/>
    </row>
    <row r="118" spans="1:24" x14ac:dyDescent="0.25">
      <c r="F118" s="107"/>
    </row>
    <row r="119" spans="1:24" x14ac:dyDescent="0.25">
      <c r="F119" s="107"/>
    </row>
    <row r="120" spans="1:24" x14ac:dyDescent="0.25">
      <c r="F120" s="107"/>
    </row>
  </sheetData>
  <mergeCells count="3">
    <mergeCell ref="A1:P1"/>
    <mergeCell ref="A2:P2"/>
    <mergeCell ref="A3:P3"/>
  </mergeCells>
  <printOptions gridLines="1"/>
  <pageMargins left="0.7" right="0.7" top="0.75" bottom="0.75" header="0.3" footer="0.3"/>
  <pageSetup scale="88" fitToHeight="2" orientation="portrait" r:id="rId1"/>
  <headerFooter>
    <oddHeader>&amp;CPROPOSED BUDGET 2017 -18</oddHeader>
  </headerFooter>
  <rowBreaks count="1" manualBreakCount="1"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Hartigan</dc:creator>
  <cp:lastModifiedBy>User</cp:lastModifiedBy>
  <cp:lastPrinted>2016-11-03T21:54:21Z</cp:lastPrinted>
  <dcterms:created xsi:type="dcterms:W3CDTF">2016-02-27T21:12:49Z</dcterms:created>
  <dcterms:modified xsi:type="dcterms:W3CDTF">2017-01-02T18:07:12Z</dcterms:modified>
</cp:coreProperties>
</file>